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10" yWindow="600" windowWidth="21840" windowHeight="8415"/>
  </bookViews>
  <sheets>
    <sheet name="Лист1" sheetId="3" r:id="rId1"/>
  </sheets>
  <calcPr calcId="145621"/>
</workbook>
</file>

<file path=xl/calcChain.xml><?xml version="1.0" encoding="utf-8"?>
<calcChain xmlns="http://schemas.openxmlformats.org/spreadsheetml/2006/main">
  <c r="G762" i="3" l="1"/>
  <c r="G732" i="3"/>
  <c r="G731" i="3"/>
  <c r="G730" i="3"/>
  <c r="G566" i="3"/>
  <c r="G8" i="3"/>
  <c r="G471" i="3"/>
  <c r="G21" i="3"/>
  <c r="G20" i="3"/>
  <c r="G31" i="3"/>
  <c r="G30" i="3" s="1"/>
  <c r="G27" i="3"/>
  <c r="G598" i="3"/>
  <c r="G600" i="3"/>
  <c r="G599" i="3" s="1"/>
  <c r="G739" i="3"/>
  <c r="G744" i="3"/>
  <c r="G743" i="3" s="1"/>
  <c r="G637" i="3"/>
  <c r="G761" i="3"/>
  <c r="G760" i="3"/>
  <c r="G759" i="3"/>
  <c r="G758" i="3"/>
  <c r="G757" i="3"/>
  <c r="G756" i="3"/>
  <c r="G755" i="3"/>
  <c r="G754" i="3"/>
  <c r="G753" i="3"/>
  <c r="G752" i="3"/>
  <c r="G751" i="3"/>
  <c r="G750" i="3"/>
  <c r="G749" i="3"/>
  <c r="G748" i="3"/>
  <c r="G747" i="3"/>
  <c r="G746" i="3"/>
  <c r="G745" i="3"/>
  <c r="G742" i="3"/>
  <c r="G741" i="3"/>
  <c r="G738" i="3"/>
  <c r="G737" i="3"/>
  <c r="G736" i="3"/>
  <c r="G735" i="3"/>
  <c r="G734" i="3"/>
  <c r="G733" i="3"/>
  <c r="G729" i="3"/>
  <c r="G728" i="3"/>
  <c r="G727" i="3"/>
  <c r="G726" i="3"/>
  <c r="G725" i="3"/>
  <c r="G724" i="3"/>
  <c r="G723" i="3"/>
  <c r="G722" i="3"/>
  <c r="G721" i="3"/>
  <c r="G720" i="3"/>
  <c r="G719" i="3"/>
  <c r="G718" i="3"/>
  <c r="G717" i="3"/>
  <c r="G716" i="3"/>
  <c r="G715" i="3"/>
  <c r="G714" i="3"/>
  <c r="G713" i="3"/>
  <c r="G712" i="3"/>
  <c r="G711" i="3"/>
  <c r="G710" i="3"/>
  <c r="G709" i="3"/>
  <c r="G708" i="3"/>
  <c r="G707" i="3"/>
  <c r="G706" i="3"/>
  <c r="G705" i="3"/>
  <c r="G704" i="3"/>
  <c r="G703" i="3"/>
  <c r="G702" i="3"/>
  <c r="G701" i="3"/>
  <c r="G700" i="3"/>
  <c r="G699" i="3"/>
  <c r="G698" i="3"/>
  <c r="G697" i="3"/>
  <c r="G696" i="3"/>
  <c r="G695" i="3"/>
  <c r="G694" i="3"/>
  <c r="G693" i="3"/>
  <c r="G692" i="3"/>
  <c r="G691" i="3"/>
  <c r="G690" i="3"/>
  <c r="G689" i="3"/>
  <c r="G688" i="3"/>
  <c r="G687" i="3"/>
  <c r="G686" i="3"/>
  <c r="G685" i="3"/>
  <c r="G684" i="3"/>
  <c r="G683" i="3"/>
  <c r="G682" i="3"/>
  <c r="G681" i="3"/>
  <c r="G680" i="3"/>
  <c r="G679" i="3"/>
  <c r="G678" i="3"/>
  <c r="G677" i="3"/>
  <c r="G676" i="3"/>
  <c r="G675" i="3"/>
  <c r="G674" i="3"/>
  <c r="G673" i="3"/>
  <c r="G672" i="3"/>
  <c r="G671" i="3"/>
  <c r="G670" i="3"/>
  <c r="G669" i="3"/>
  <c r="G668" i="3"/>
  <c r="G667" i="3"/>
  <c r="G666" i="3"/>
  <c r="G665" i="3"/>
  <c r="G664" i="3"/>
  <c r="G663" i="3"/>
  <c r="G662" i="3"/>
  <c r="G661" i="3"/>
  <c r="G660" i="3"/>
  <c r="G659" i="3"/>
  <c r="G658" i="3"/>
  <c r="G657" i="3"/>
  <c r="G656" i="3"/>
  <c r="G655" i="3"/>
  <c r="G654" i="3"/>
  <c r="G653" i="3"/>
  <c r="G652" i="3"/>
  <c r="G651" i="3"/>
  <c r="G650" i="3"/>
  <c r="G649" i="3"/>
  <c r="G648" i="3"/>
  <c r="G647" i="3"/>
  <c r="G646" i="3"/>
  <c r="G645" i="3"/>
  <c r="G644" i="3"/>
  <c r="G643" i="3"/>
  <c r="G642" i="3"/>
  <c r="G641" i="3"/>
  <c r="G640" i="3"/>
  <c r="G639" i="3"/>
  <c r="G638" i="3"/>
  <c r="G636" i="3"/>
  <c r="G635" i="3"/>
  <c r="G634" i="3"/>
  <c r="G633" i="3"/>
  <c r="G632" i="3"/>
  <c r="G631" i="3"/>
  <c r="G630" i="3"/>
  <c r="G629" i="3"/>
  <c r="G628" i="3"/>
  <c r="G627" i="3"/>
  <c r="G626" i="3"/>
  <c r="G625" i="3"/>
  <c r="G624" i="3"/>
  <c r="G623" i="3"/>
  <c r="G622" i="3"/>
  <c r="G621" i="3"/>
  <c r="G620" i="3"/>
  <c r="G619" i="3"/>
  <c r="G618" i="3"/>
  <c r="G617" i="3"/>
  <c r="G616" i="3"/>
  <c r="G615" i="3"/>
  <c r="G614" i="3"/>
  <c r="G613" i="3"/>
  <c r="G612" i="3"/>
  <c r="G611" i="3"/>
  <c r="G610" i="3"/>
  <c r="G609" i="3"/>
  <c r="G608" i="3"/>
  <c r="G607" i="3"/>
  <c r="G606" i="3"/>
  <c r="G605" i="3"/>
  <c r="G604" i="3"/>
  <c r="G603" i="3"/>
  <c r="G602" i="3"/>
  <c r="G601" i="3"/>
  <c r="G597" i="3"/>
  <c r="G594" i="3"/>
  <c r="G593" i="3"/>
  <c r="G592" i="3"/>
  <c r="G591" i="3"/>
  <c r="G590" i="3"/>
  <c r="G589" i="3"/>
  <c r="G588" i="3"/>
  <c r="G587" i="3"/>
  <c r="G586" i="3"/>
  <c r="G585" i="3"/>
  <c r="G584" i="3"/>
  <c r="G583" i="3"/>
  <c r="G582" i="3"/>
  <c r="G581" i="3"/>
  <c r="G580" i="3"/>
  <c r="G579" i="3"/>
  <c r="G578" i="3"/>
  <c r="G577" i="3"/>
  <c r="G576" i="3"/>
  <c r="G575" i="3"/>
  <c r="G574" i="3"/>
  <c r="G573" i="3"/>
  <c r="G572" i="3"/>
  <c r="G571" i="3"/>
  <c r="G570" i="3"/>
  <c r="G569" i="3"/>
  <c r="G568" i="3"/>
  <c r="G567" i="3"/>
  <c r="G565" i="3"/>
  <c r="G564" i="3"/>
  <c r="G563" i="3"/>
  <c r="G562" i="3"/>
  <c r="G561" i="3"/>
  <c r="G560" i="3"/>
  <c r="G559" i="3"/>
  <c r="G558" i="3"/>
  <c r="G557" i="3"/>
  <c r="G556" i="3"/>
  <c r="G555" i="3"/>
  <c r="G554" i="3"/>
  <c r="G553" i="3"/>
  <c r="G552" i="3"/>
  <c r="G551" i="3"/>
  <c r="G550" i="3"/>
  <c r="G549" i="3"/>
  <c r="G548" i="3"/>
  <c r="G547" i="3"/>
  <c r="G546" i="3"/>
  <c r="G545" i="3"/>
  <c r="G544" i="3"/>
  <c r="G543" i="3"/>
  <c r="G542" i="3"/>
  <c r="G541" i="3"/>
  <c r="G540" i="3"/>
  <c r="G539" i="3"/>
  <c r="G538" i="3"/>
  <c r="G537" i="3"/>
  <c r="G536" i="3"/>
  <c r="G535" i="3"/>
  <c r="G534" i="3"/>
  <c r="G533" i="3"/>
  <c r="G532" i="3"/>
  <c r="G531" i="3"/>
  <c r="G530" i="3"/>
  <c r="G529" i="3"/>
  <c r="G528" i="3"/>
  <c r="G527" i="3"/>
  <c r="G526" i="3"/>
  <c r="G525" i="3"/>
  <c r="G524" i="3"/>
  <c r="G523" i="3"/>
  <c r="G522" i="3"/>
  <c r="G521" i="3"/>
  <c r="G520" i="3"/>
  <c r="G519" i="3"/>
  <c r="G518" i="3"/>
  <c r="G517" i="3"/>
  <c r="G516" i="3"/>
  <c r="G515" i="3"/>
  <c r="G514" i="3"/>
  <c r="G513" i="3"/>
  <c r="G512" i="3"/>
  <c r="G511" i="3"/>
  <c r="G510" i="3"/>
  <c r="G509" i="3"/>
  <c r="G508" i="3"/>
  <c r="G507" i="3"/>
  <c r="G506" i="3"/>
  <c r="G505" i="3"/>
  <c r="G504" i="3"/>
  <c r="G503" i="3"/>
  <c r="G502" i="3"/>
  <c r="G501" i="3"/>
  <c r="G500" i="3"/>
  <c r="G499" i="3"/>
  <c r="G498" i="3"/>
  <c r="G497" i="3"/>
  <c r="G496" i="3"/>
  <c r="G495" i="3"/>
  <c r="G494" i="3"/>
  <c r="G493" i="3"/>
  <c r="G492" i="3"/>
  <c r="G491" i="3"/>
  <c r="G490" i="3"/>
  <c r="G489" i="3"/>
  <c r="G488" i="3"/>
  <c r="G487" i="3"/>
  <c r="G486" i="3"/>
  <c r="G485" i="3"/>
  <c r="G484" i="3"/>
  <c r="G483" i="3"/>
  <c r="G482" i="3"/>
  <c r="G481" i="3"/>
  <c r="G480" i="3"/>
  <c r="G479" i="3"/>
  <c r="G478" i="3"/>
  <c r="G477" i="3"/>
  <c r="G476" i="3"/>
  <c r="G475" i="3"/>
  <c r="G474" i="3"/>
  <c r="G473" i="3"/>
  <c r="G472" i="3"/>
  <c r="G470" i="3"/>
  <c r="G469" i="3"/>
  <c r="G468" i="3"/>
  <c r="G467" i="3"/>
  <c r="G466" i="3"/>
  <c r="G465" i="3"/>
  <c r="G464" i="3"/>
  <c r="G463" i="3"/>
  <c r="G462" i="3"/>
  <c r="G461" i="3"/>
  <c r="G460" i="3"/>
  <c r="G459" i="3"/>
  <c r="G458" i="3"/>
  <c r="G457" i="3"/>
  <c r="G456" i="3"/>
  <c r="G455" i="3"/>
  <c r="G454" i="3"/>
  <c r="G453" i="3"/>
  <c r="G452" i="3"/>
  <c r="G451" i="3"/>
  <c r="G450" i="3"/>
  <c r="G449" i="3"/>
  <c r="G448" i="3"/>
  <c r="G447" i="3"/>
  <c r="G446" i="3"/>
  <c r="G445" i="3"/>
  <c r="G444" i="3"/>
  <c r="G443" i="3"/>
  <c r="G442" i="3"/>
  <c r="G441" i="3"/>
  <c r="G440" i="3"/>
  <c r="G439" i="3"/>
  <c r="G438" i="3"/>
  <c r="G437" i="3"/>
  <c r="G436" i="3"/>
  <c r="G435" i="3"/>
  <c r="G434" i="3"/>
  <c r="G433" i="3"/>
  <c r="G432" i="3"/>
  <c r="G431" i="3"/>
  <c r="G430" i="3"/>
  <c r="G429" i="3"/>
  <c r="G428" i="3"/>
  <c r="G427" i="3"/>
  <c r="G426" i="3"/>
  <c r="G425" i="3"/>
  <c r="G424" i="3"/>
  <c r="G423" i="3"/>
  <c r="G422" i="3"/>
  <c r="G421" i="3"/>
  <c r="G420" i="3"/>
  <c r="G419" i="3"/>
  <c r="G418" i="3"/>
  <c r="G417" i="3"/>
  <c r="G416" i="3"/>
  <c r="G415" i="3"/>
  <c r="G414" i="3"/>
  <c r="G413" i="3"/>
  <c r="G412" i="3"/>
  <c r="G411" i="3"/>
  <c r="G410" i="3"/>
  <c r="G409" i="3"/>
  <c r="G408" i="3"/>
  <c r="G407" i="3"/>
  <c r="G406" i="3"/>
  <c r="G405" i="3"/>
  <c r="G404" i="3"/>
  <c r="G403" i="3"/>
  <c r="G402" i="3"/>
  <c r="G401" i="3"/>
  <c r="G400" i="3"/>
  <c r="G399" i="3"/>
  <c r="G398" i="3"/>
  <c r="G397" i="3"/>
  <c r="G396" i="3"/>
  <c r="G395" i="3"/>
  <c r="G394" i="3"/>
  <c r="G393" i="3"/>
  <c r="G392" i="3"/>
  <c r="G391" i="3"/>
  <c r="G390" i="3"/>
  <c r="G389" i="3"/>
  <c r="G388" i="3"/>
  <c r="G387" i="3"/>
  <c r="G386" i="3"/>
  <c r="G385" i="3"/>
  <c r="G384" i="3"/>
  <c r="G383" i="3"/>
  <c r="G382" i="3"/>
  <c r="G381" i="3"/>
  <c r="G380" i="3"/>
  <c r="G379" i="3"/>
  <c r="G378" i="3"/>
  <c r="G377" i="3"/>
  <c r="G376" i="3"/>
  <c r="G375" i="3"/>
  <c r="G374" i="3"/>
  <c r="G373" i="3"/>
  <c r="G372" i="3"/>
  <c r="G371" i="3"/>
  <c r="G370" i="3"/>
  <c r="G369" i="3"/>
  <c r="G368" i="3"/>
  <c r="G367" i="3"/>
  <c r="G366" i="3"/>
  <c r="G365" i="3"/>
  <c r="G364" i="3"/>
  <c r="G363" i="3"/>
  <c r="G362" i="3"/>
  <c r="G361" i="3"/>
  <c r="G360" i="3"/>
  <c r="G359" i="3"/>
  <c r="G358" i="3"/>
  <c r="G357" i="3"/>
  <c r="G356" i="3"/>
  <c r="G355" i="3"/>
  <c r="G354" i="3"/>
  <c r="G353" i="3"/>
  <c r="G352" i="3"/>
  <c r="G351" i="3"/>
  <c r="G350" i="3"/>
  <c r="G349" i="3"/>
  <c r="G348" i="3"/>
  <c r="G347" i="3"/>
  <c r="G346" i="3"/>
  <c r="G345" i="3"/>
  <c r="G344" i="3"/>
  <c r="G343" i="3"/>
  <c r="G342" i="3"/>
  <c r="G341" i="3"/>
  <c r="G340" i="3"/>
  <c r="G339" i="3"/>
  <c r="G338" i="3"/>
  <c r="G337" i="3"/>
  <c r="G336" i="3"/>
  <c r="G335" i="3"/>
  <c r="G334" i="3"/>
  <c r="G333" i="3"/>
  <c r="G332" i="3"/>
  <c r="G331" i="3"/>
  <c r="G330" i="3"/>
  <c r="G329" i="3"/>
  <c r="G328" i="3"/>
  <c r="G327" i="3"/>
  <c r="G326" i="3"/>
  <c r="G325" i="3"/>
  <c r="G324" i="3"/>
  <c r="G323" i="3"/>
  <c r="G322" i="3"/>
  <c r="G321" i="3"/>
  <c r="G320" i="3"/>
  <c r="G319" i="3"/>
  <c r="G318" i="3"/>
  <c r="G317" i="3"/>
  <c r="G316" i="3"/>
  <c r="G315" i="3"/>
  <c r="G314" i="3"/>
  <c r="G313" i="3"/>
  <c r="G312" i="3"/>
  <c r="G311" i="3"/>
  <c r="G310" i="3"/>
  <c r="G309" i="3"/>
  <c r="G308" i="3"/>
  <c r="G307" i="3"/>
  <c r="G306" i="3"/>
  <c r="G305" i="3"/>
  <c r="G304" i="3"/>
  <c r="G303" i="3"/>
  <c r="G302" i="3"/>
  <c r="G301" i="3"/>
  <c r="G300" i="3"/>
  <c r="G299" i="3"/>
  <c r="G298" i="3"/>
  <c r="G297" i="3"/>
  <c r="G296" i="3"/>
  <c r="G295" i="3"/>
  <c r="G294" i="3"/>
  <c r="G293" i="3"/>
  <c r="G292" i="3"/>
  <c r="G291" i="3"/>
  <c r="G290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29" i="3"/>
  <c r="G28" i="3"/>
  <c r="G26" i="3"/>
  <c r="G25" i="3"/>
  <c r="G24" i="3"/>
  <c r="G23" i="3"/>
  <c r="G22" i="3"/>
  <c r="G19" i="3"/>
  <c r="G18" i="3"/>
  <c r="G17" i="3"/>
  <c r="G16" i="3"/>
  <c r="G15" i="3"/>
  <c r="G14" i="3"/>
  <c r="G13" i="3"/>
  <c r="G12" i="3"/>
  <c r="G11" i="3"/>
  <c r="G10" i="3"/>
  <c r="G9" i="3"/>
  <c r="G7" i="3"/>
</calcChain>
</file>

<file path=xl/sharedStrings.xml><?xml version="1.0" encoding="utf-8"?>
<sst xmlns="http://schemas.openxmlformats.org/spreadsheetml/2006/main" count="4541" uniqueCount="366">
  <si>
    <t>Единица измерения: руб.</t>
  </si>
  <si>
    <t>Наименование показателя</t>
  </si>
  <si>
    <t>Вед.</t>
  </si>
  <si>
    <t>Ц.ст.</t>
  </si>
  <si>
    <t>Расх.</t>
  </si>
  <si>
    <t>Уточненная роспись/план</t>
  </si>
  <si>
    <t>0000</t>
  </si>
  <si>
    <t>0000000000</t>
  </si>
  <si>
    <t>000</t>
  </si>
  <si>
    <t xml:space="preserve">    АДМИНИСТРАЦИЯ ПРИТОБОЛЬНОГО МУНИЦИПАЛЬНОГО ОКРУГА КУРГАНСКОЙ ОБЛАСТИ</t>
  </si>
  <si>
    <t>700</t>
  </si>
  <si>
    <t xml:space="preserve">      ОБЩЕГОСУДАРСТВЕННЫЕ ВОПРОСЫ</t>
  </si>
  <si>
    <t xml:space="preserve">        Функционирование высшего должностного лица субъекта Российской Федерации и муниципального образования</t>
  </si>
  <si>
    <t xml:space="preserve">            Непрограммные направления деятельности органов местного самоуправления Притобольного муниципального округа Курганской области</t>
  </si>
  <si>
    <t>5100000000</t>
  </si>
  <si>
    <t xml:space="preserve">              Обеспечение деятельности Главы Притобольного муниципального округа Курганской области и аппарата Администрации Притобольного Притобольного муниципального округа Курганской области</t>
  </si>
  <si>
    <t>5120000000</t>
  </si>
  <si>
    <t xml:space="preserve">                Глава Притобольного муниципального округа Курганской области</t>
  </si>
  <si>
    <t>5120085000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</si>
  <si>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</si>
  <si>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</si>
  <si>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Иные непрограммные мероприятия</t>
  </si>
  <si>
    <t>5190000000</t>
  </si>
  <si>
    <t xml:space="preserve">                Поощрение региональных и муниципальных управленческих команд</t>
  </si>
  <si>
    <t>5190010930</t>
  </si>
  <si>
    <t xml:space="preserve">                  Поощрение региональных и муниципальных управленческих команд</t>
  </si>
  <si>
    <t xml:space="preserve">                  Поощрение за достижение наилучших показателей эффективности деятельности органов местного самоуправления муниципальных образований Курганской области</t>
  </si>
  <si>
    <t>5190010935</t>
  </si>
  <si>
    <t xml:space="preserve">  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</si>
  <si>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        Аппарат Администрации Притобольного муниципального округа Курганской области</t>
  </si>
  <si>
    <t>5120085500</t>
  </si>
  <si>
    <t xml:space="preserve">                    Закупка товаров, работ и услуг для обеспечения государственных (муниципальных) нужд</t>
  </si>
  <si>
    <t>200</t>
  </si>
  <si>
    <t xml:space="preserve">                      Прочая закупка товаров, работ и услуг</t>
  </si>
  <si>
    <t>244</t>
  </si>
  <si>
    <t xml:space="preserve">                    Иные бюджетные ассигнования</t>
  </si>
  <si>
    <t>800</t>
  </si>
  <si>
    <t xml:space="preserve">        Судебная система</t>
  </si>
  <si>
    <t xml:space="preserve">  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</si>
  <si>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5190051200</t>
  </si>
  <si>
    <t xml:space="preserve">        Другие общегосударственные вопросы</t>
  </si>
  <si>
    <t xml:space="preserve">          Муниципальная программа Притобольного муниципального округа Курганской области "Защита населения и территорий от чрезвычайных ситуаций, обеспечение пожарной безопасности и безопасности людей на водных объектах на территории Притобольного муниципального округа на 2024-2026 года"</t>
  </si>
  <si>
    <t>1000000000</t>
  </si>
  <si>
    <t xml:space="preserve">            Муниципальная программа гармонизации межэтнических и межконфессиональных отношений и профилактики проявлений экстремизма в Притобольном муниципальном округе Курганской области на 2024-2026 годы</t>
  </si>
  <si>
    <t>1900000000</t>
  </si>
  <si>
    <t xml:space="preserve">                Реализация иных направлений</t>
  </si>
  <si>
    <t>1900189990</t>
  </si>
  <si>
    <t xml:space="preserve">          Муниципальная программа "Комплексное развитие сельских территорий Притобольного муниципального округа" на 2024-2029 годы</t>
  </si>
  <si>
    <t>2000000000</t>
  </si>
  <si>
    <t xml:space="preserve">            Муниципальная программа Притобольного муниципального округа Курганской области по управлению муниципальным имуществом и регулированию земельных отношений на 2024-2026 годы</t>
  </si>
  <si>
    <t>2600000000</t>
  </si>
  <si>
    <t xml:space="preserve">                Реализация основного мероприятия</t>
  </si>
  <si>
    <t>2600189980</t>
  </si>
  <si>
    <t>2600289980</t>
  </si>
  <si>
    <t xml:space="preserve">                Подготовка проектов межевания земельных участков и проведение кадастровых работ</t>
  </si>
  <si>
    <t>26002L5990</t>
  </si>
  <si>
    <t xml:space="preserve">            Муниципальная программа Притобольного муниципального округа Курганской области "Управление муниципальными финансами и муниципальным долгом Притобольного муниципального округа"</t>
  </si>
  <si>
    <t>2700000000</t>
  </si>
  <si>
    <t xml:space="preserve">              Подпрограмма "Организация и совершенствование бюджетного процесса в Притобольном муниципальном округе "</t>
  </si>
  <si>
    <t>2710000000</t>
  </si>
  <si>
    <t xml:space="preserve">                Резервный фонд Администрации Притобольного муниципального округа Курганской области</t>
  </si>
  <si>
    <t>2710186000</t>
  </si>
  <si>
    <t xml:space="preserve">              Расходы на проведение мероприятий муниципального округа</t>
  </si>
  <si>
    <t>5140000000</t>
  </si>
  <si>
    <t xml:space="preserve">                Расходы на проведение Дня округа</t>
  </si>
  <si>
    <t>5140085810</t>
  </si>
  <si>
    <t xml:space="preserve">                Расходы на проведение дня пожилых людей</t>
  </si>
  <si>
    <t>5140085820</t>
  </si>
  <si>
    <t xml:space="preserve">              Выполнение других обязательств органами местного самоуправления Притобольного муниципального округа Курганской области</t>
  </si>
  <si>
    <t>5180000000</t>
  </si>
  <si>
    <t xml:space="preserve">                Взносы в ассоциацию "Совет муниципальных образований Курганской области"</t>
  </si>
  <si>
    <t>5180086700</t>
  </si>
  <si>
    <t>5180089990</t>
  </si>
  <si>
    <t xml:space="preserve">                Исполнение государственных полномочий по образованию комиссий по делам несовершеннолетних и защите их прав</t>
  </si>
  <si>
    <t>5190014150</t>
  </si>
  <si>
    <t xml:space="preserve">                Исполнение государственных полномочий по созданию административных комиссий</t>
  </si>
  <si>
    <t>5190016090</t>
  </si>
  <si>
    <t xml:space="preserve">                Осуществление отдельных государственных полномочий Курганской области в сфере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</si>
  <si>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5190016100</t>
  </si>
  <si>
    <t xml:space="preserve">                Исполнение органами местного самоуправления государственных полномочий по хранению, комплектованию, учету и использованию Архивного фонда Курганской области</t>
  </si>
  <si>
    <t>5190016200</t>
  </si>
  <si>
    <t xml:space="preserve">               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на реализацию передаваемых федеральных полномочий на регистрацию актов гражданского состояния</t>
  </si>
  <si>
    <t>5190059310</t>
  </si>
  <si>
    <t xml:space="preserve">      НАЦИОНАЛЬНАЯ ОБОРОНА</t>
  </si>
  <si>
    <t xml:space="preserve">        Мобилизационная и вневойсковая подготовка</t>
  </si>
  <si>
    <t xml:space="preserve">                Осуществление первичного воинского учета органами местного самоуправления поселений, муниципальных и городских округов</t>
  </si>
  <si>
    <t>5190051180</t>
  </si>
  <si>
    <t xml:space="preserve">      НАЦИОНАЛЬНАЯ БЕЗОПАСНОСТЬ И ПРАВООХРАНИТЕЛЬНАЯ ДЕЯТЕЛЬНОСТЬ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</si>
  <si>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</si>
  <si>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1000189990</t>
  </si>
  <si>
    <t>1000389990</t>
  </si>
  <si>
    <t xml:space="preserve">                  Проведение мероприятий. направленных на предупреждение и тушение пожаров в муниципальных образованиях Курганской области</t>
  </si>
  <si>
    <t>1000447011</t>
  </si>
  <si>
    <t>1000489990</t>
  </si>
  <si>
    <t>1000589990</t>
  </si>
  <si>
    <t xml:space="preserve">                  Поддержка мер по обеспечению сбалансированности бюджетов муниципальных образований. Расходы на ликвидацию последствий чрезвычайной ситуации в результате весеннего паводка 2024 года. Проведение аварийно-восстановительных работ. санитарной очистки и обеззараживания территорий населенных пунктов</t>
  </si>
  <si>
    <t>5190016081</t>
  </si>
  <si>
    <t>5190089990</t>
  </si>
  <si>
    <t xml:space="preserve">        Другие вопросы в области национальной безопасности и правоохранительной деятельности</t>
  </si>
  <si>
    <t xml:space="preserve">            Муниципальная программа Притобольного муниципального округа Курганской области "Обеспечение общественного порядка и противодействие преступности в Притобольном муниципальном округе Курганской области" на 2024-2026годы</t>
  </si>
  <si>
    <t>1400000000</t>
  </si>
  <si>
    <t>1400189990</t>
  </si>
  <si>
    <t xml:space="preserve">                    Социальное обеспечение и иные выплаты населению</t>
  </si>
  <si>
    <t>300</t>
  </si>
  <si>
    <t xml:space="preserve">      НАЦИОНАЛЬНАЯ ЭКОНОМИКА</t>
  </si>
  <si>
    <t xml:space="preserve">        Общеэкономические вопросы</t>
  </si>
  <si>
    <t xml:space="preserve">          Неизвестная целевая статья</t>
  </si>
  <si>
    <t xml:space="preserve">            Муниципальная программа "О дополнительных мероприятиях, направленных на снижение напряженности на рынке труда Притобольного муниципального округа" на 2024 год</t>
  </si>
  <si>
    <t>0800000000</t>
  </si>
  <si>
    <t xml:space="preserve">                Расходы на осуществление активных мероприятий по содействию занятости населения</t>
  </si>
  <si>
    <t>08001S3950</t>
  </si>
  <si>
    <t xml:space="preserve">        Сельское хозяйство и рыболовство</t>
  </si>
  <si>
    <t xml:space="preserve">            Муниципальная программа "Развитие агропромышленного комплекса в Притобольном муниципальном округе" на 2024-2026 годы</t>
  </si>
  <si>
    <t>2300000000</t>
  </si>
  <si>
    <t>2300189980</t>
  </si>
  <si>
    <t xml:space="preserve">                Исполнение государственных полномочий по организации мероприятий при осуществлении деятельности по обращению с животными без владельцев</t>
  </si>
  <si>
    <t>5190015500</t>
  </si>
  <si>
    <t xml:space="preserve">        Дорожное хозяйство (дорожные фонды)</t>
  </si>
  <si>
    <t xml:space="preserve">                Расходы за счет муниципального дорожного фонда</t>
  </si>
  <si>
    <t>5160086400</t>
  </si>
  <si>
    <t xml:space="preserve">                Дорожная деятельность и осуществление иных мероприятий в отношении автомобильных дорог общего пользования местного значения Курганской области (оформление правоустанавливающих документов, расходы на уплату налога на имущество организаций)</t>
  </si>
  <si>
    <t>5190015030</t>
  </si>
  <si>
    <t>51900S5030</t>
  </si>
  <si>
    <t xml:space="preserve">        Другие вопросы в области национальной экономики</t>
  </si>
  <si>
    <t xml:space="preserve">            Муниципальная программа "О развитии и поддержке малого и среднего предпринимательства в Притобольном муниципальном округе" на 2024-2033 годы</t>
  </si>
  <si>
    <t>0600000000</t>
  </si>
  <si>
    <t>0600189980</t>
  </si>
  <si>
    <t>0600289980</t>
  </si>
  <si>
    <t>1400289990</t>
  </si>
  <si>
    <t>1400389990</t>
  </si>
  <si>
    <t>1400489990</t>
  </si>
  <si>
    <t xml:space="preserve">      ЖИЛИЩНО-КОММУНАЛЬНОЕ ХОЗЯЙСТВО</t>
  </si>
  <si>
    <t xml:space="preserve">        Жилищное хозяйство</t>
  </si>
  <si>
    <t xml:space="preserve">                Взносы на капитальный ремонт общего имущества в многоквартирных домах</t>
  </si>
  <si>
    <t>5180086600</t>
  </si>
  <si>
    <t xml:space="preserve">                Осуществление государственных полномочий по организации проведения капитального ремонта общего имущества в многоквартирных домах</t>
  </si>
  <si>
    <t>5190014040</t>
  </si>
  <si>
    <t xml:space="preserve">        Коммунальное хозяйство</t>
  </si>
  <si>
    <t xml:space="preserve">            Муниципальная программа "Комплексное развитие сельских территорий Притобольного муниципального округа" на 2024-2029 годы</t>
  </si>
  <si>
    <t>2000389990</t>
  </si>
  <si>
    <t xml:space="preserve">            Муниципальная программа Притобольного муниципального округа Курганской области "Комплексное развитие систем коммунальной инфраструктуры Притобольного муниципального округа Курганской области"</t>
  </si>
  <si>
    <t>2200000000</t>
  </si>
  <si>
    <t xml:space="preserve">                Реконструкция и техперевооружение инженерной инфраструктуры муниципальных образований Курганской области</t>
  </si>
  <si>
    <t>2200117020</t>
  </si>
  <si>
    <t>2200189990</t>
  </si>
  <si>
    <t>22001S7020</t>
  </si>
  <si>
    <t xml:space="preserve">        Благоустройство</t>
  </si>
  <si>
    <t xml:space="preserve">            Муниципальная программа Притобольного муниципального округа Курганской области" Формирование комфортной городской среды на территории населенных пунктов Притобольного муниципального округа" на 2024-2033 годы</t>
  </si>
  <si>
    <t>0500000000</t>
  </si>
  <si>
    <t xml:space="preserve">                Благоустройство территорий муниципальных образований Курганской области</t>
  </si>
  <si>
    <t>0500014360</t>
  </si>
  <si>
    <t>2200289990</t>
  </si>
  <si>
    <t xml:space="preserve">      ОБРАЗОВАНИЕ</t>
  </si>
  <si>
    <t xml:space="preserve">        Общее образование</t>
  </si>
  <si>
    <t xml:space="preserve">            Муниципальная программа "Развитие образования в Притобольном муниципальном округе Курганской области" на 2024-2026 годы</t>
  </si>
  <si>
    <t>0300000000</t>
  </si>
  <si>
    <t xml:space="preserve">              Подпрограмма "Развитие общего образования"</t>
  </si>
  <si>
    <t>0310000000</t>
  </si>
  <si>
    <t xml:space="preserve">                Реализация мероприятий по модернизации школьных систем образования</t>
  </si>
  <si>
    <t>03102L7500</t>
  </si>
  <si>
    <t xml:space="preserve">                  Реализация мероприятий по модернизации школьных систем образования (объекты капитального ремонта, планируемые к реализации в рамках одного финансового года)</t>
  </si>
  <si>
    <t>03102L7501</t>
  </si>
  <si>
    <t xml:space="preserve">                  Реализация мероприятий по модернизации школьных систем образования (объекты капитального ремонта. планируемые к реализации в рамках двух финансовых лет)</t>
  </si>
  <si>
    <t>03102L7502</t>
  </si>
  <si>
    <t xml:space="preserve">      СОЦИАЛЬНАЯ ПОЛИТИКА</t>
  </si>
  <si>
    <t xml:space="preserve">        Социальное обеспечение населения</t>
  </si>
  <si>
    <t xml:space="preserve">                Единовременная материальная помощь Почетным гражданам</t>
  </si>
  <si>
    <t>5180086200</t>
  </si>
  <si>
    <t xml:space="preserve">                Оказание материальной помощи малоимущим пенсионерам и семьям с детьми</t>
  </si>
  <si>
    <t>5180086300</t>
  </si>
  <si>
    <t xml:space="preserve">                Расходы на финансовое обеспечение мероприятий. связанных с проведением специальной военной операции</t>
  </si>
  <si>
    <t>5190011270</t>
  </si>
  <si>
    <t xml:space="preserve">        Другие вопросы в области социальной политики</t>
  </si>
  <si>
    <t xml:space="preserve">    ГЛЯДЯНСКИЙ ТЕРРИТОРИАЛЬНЫЙ ОТДЕЛ АДМИНИСТРАЦИИ ПРИТОБОЛЬНОГО МУНИЦИПАЛЬНОГО ОКРУГА КУРГАНСКОЙ ОБЛАСТИ</t>
  </si>
  <si>
    <t>710</t>
  </si>
  <si>
    <t xml:space="preserve">                Расходы на материально-техническое обеспечение деятельности Глядянского территориального отдела</t>
  </si>
  <si>
    <t>5120085510</t>
  </si>
  <si>
    <t xml:space="preserve">                Расходы на проведение мероприятий, посвященных празднованию Победы в Великой Отечественной войне</t>
  </si>
  <si>
    <t>5140085800</t>
  </si>
  <si>
    <t xml:space="preserve">        Водное хозяйство</t>
  </si>
  <si>
    <t xml:space="preserve">                На проведение работ по разработке пакета документов по декларированию безопасности гидротехнических сооружений,находящихся в муниципальной собственности</t>
  </si>
  <si>
    <t>1000716970</t>
  </si>
  <si>
    <t xml:space="preserve">                Поддержка государственных программ субъектов Российской Федерации и муниципальных программ формирования современной городской среды</t>
  </si>
  <si>
    <t>050F255550</t>
  </si>
  <si>
    <t xml:space="preserve">                Реализация инициативных проектов</t>
  </si>
  <si>
    <t>5180014370</t>
  </si>
  <si>
    <t xml:space="preserve">    РАСКАТИХИНСКИЙ ТЕРРИТОРИАЛЬНЫЙ ОТДЕЛ АДМИНИСТРАЦИИ ПРИТОБОЛЬНОГО МУНИЦИПАЛЬНОГО ОКРУГА КУРГАНСКОЙ ОБЛАСТИ</t>
  </si>
  <si>
    <t>720</t>
  </si>
  <si>
    <t xml:space="preserve">                Расходы на материально-техническое обеспечение деятельности Раскатихинского территориального отдела</t>
  </si>
  <si>
    <t>5120085520</t>
  </si>
  <si>
    <t xml:space="preserve">                Реализация дополнительных мероприятий, направленных на снижение напряженности на рынке труда, по организации общественных работ</t>
  </si>
  <si>
    <t>080P253000</t>
  </si>
  <si>
    <t xml:space="preserve">      КУЛЬТУРА, КИНЕМАТОГРАФИЯ</t>
  </si>
  <si>
    <t xml:space="preserve">        Культура</t>
  </si>
  <si>
    <t xml:space="preserve">    ПЛОТНИКОВСКИЙ ТЕРРИТОРИАЛЬНЫЙ ОТДЕЛ АДМИНИСТРАЦИИ ПРИТОБОЛЬНОГО МУНИЦИПАЛЬНОГО ОКРУГА КУРГАНСКОЙ ОБЛАСТИ</t>
  </si>
  <si>
    <t>730</t>
  </si>
  <si>
    <t xml:space="preserve">                Расходы на материально-техническое обеспечение деятельности Плотниковского территориального отдела</t>
  </si>
  <si>
    <t>5120085530</t>
  </si>
  <si>
    <t xml:space="preserve">    МЕЖБОРНЫЙ ТЕРРИТОРИАЛЬНЫЙ ОТДЕЛ АДМИНИСТРАЦИИ ПРИТОБОЛЬНОГО МУНИЦИПАЛЬНОГО ОКРУГА КУРГАНСКОЙ ОБЛАСТИ</t>
  </si>
  <si>
    <t>740</t>
  </si>
  <si>
    <t xml:space="preserve">                Расходы на материально-техническое обеспечение деятельности Межборного территориального отдела</t>
  </si>
  <si>
    <t>5120085540</t>
  </si>
  <si>
    <t xml:space="preserve">    УПРАВЛЕНИЕ ОБРАЗОВАНИЯ АДМИНИСТРАЦИИ ПРИТОБОЛЬНОГО МУНИЦИПАЛЬНОГО ОКРУГА КУРГАНСКОЙ ОБЛАСТИ</t>
  </si>
  <si>
    <t>750</t>
  </si>
  <si>
    <t xml:space="preserve">        Дошкольное образование</t>
  </si>
  <si>
    <t xml:space="preserve">                Меры социальной поддержки лиц, проживающих и работающих в сельских населенных пунктах, рабочих поселках (поселках городского типа)</t>
  </si>
  <si>
    <t>0310210970</t>
  </si>
  <si>
    <t xml:space="preserve">                Реализация государственного стандарта дошкольного образования на оплату труда</t>
  </si>
  <si>
    <t>0310212010</t>
  </si>
  <si>
    <t xml:space="preserve">                      Фонд оплаты труда учреждений</t>
  </si>
  <si>
    <t>111</t>
  </si>
  <si>
    <t xml:space="preserve">      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</si>
  <si>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</si>
  <si>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    Реализация государственного стандарта дошкольного образования на учебно-наглядные пособия, технические средства обучения, игры, игрушки, расходные материалы</t>
  </si>
  <si>
    <t>0310212020</t>
  </si>
  <si>
    <t xml:space="preserve">                Финансовое обеспечение деятельности детских дошкольных учреждений</t>
  </si>
  <si>
    <t>0310280100</t>
  </si>
  <si>
    <t xml:space="preserve">                Расходы на обеспечение деятельности (оказание услуг) муниципальных учреждений</t>
  </si>
  <si>
    <t>0310280990</t>
  </si>
  <si>
    <t xml:space="preserve">                Обеспечение питанием обучающихся общеобразовательных организаций</t>
  </si>
  <si>
    <t>0310112240</t>
  </si>
  <si>
    <t xml:space="preserve">                Обеспечение гарантированного и безопасного подвоза обучающихся к месту учебы</t>
  </si>
  <si>
    <t>0310180150</t>
  </si>
  <si>
    <t xml:space="preserve">                Организация и обеспечение питанием обучающихся общеобразовательных организаций, в том числе обеспечение бутилированной водой общеобразовательных организаций, не имеющих источников качественной питьевой воды</t>
  </si>
  <si>
    <t>0310180210</t>
  </si>
  <si>
    <t>03101S2240</t>
  </si>
  <si>
    <t xml:space="preserve">                Реализация государственного стандарта общего образования на оплату труда работников общеобразовательных организаций</t>
  </si>
  <si>
    <t>0310212030</t>
  </si>
  <si>
    <t xml:space="preserve">                Реализация государственного стандарта общего образования на обеспечение учебного процесса</t>
  </si>
  <si>
    <t>0310212040</t>
  </si>
  <si>
    <t xml:space="preserve">                Развитие муниципальной системы образования</t>
  </si>
  <si>
    <t>0310217240</t>
  </si>
  <si>
    <t xml:space="preserve">                Финансовое обеспечение деятельности общеобразовательных учреждений</t>
  </si>
  <si>
    <t>0310280200</t>
  </si>
  <si>
    <t xml:space="preserve">    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организаций. реализующих программы начального общего образования.образовательные программы основного общего образования.образовательные программы среднего общего образования</t>
  </si>
  <si>
    <t>03102L3030</t>
  </si>
  <si>
    <t xml:space="preserve">                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</si>
  <si>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03102L3040</t>
  </si>
  <si>
    <t xml:space="preserve">                  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организациях( муниципальные образовательные организации)</t>
  </si>
  <si>
    <t>03102L3042</t>
  </si>
  <si>
    <t>03102S7240</t>
  </si>
  <si>
    <t xml:space="preserve">              Подпрограмма "Реализация воспитательной работы и дополнительного образовании детей в Притобольном муниципальном округе Курганской области"</t>
  </si>
  <si>
    <t>0320000000</t>
  </si>
  <si>
    <t xml:space="preserve">    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</si>
  <si>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03202L0500</t>
  </si>
  <si>
    <t xml:space="preserve">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</si>
  <si>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032EВ51790</t>
  </si>
  <si>
    <t xml:space="preserve">        Дополнительное образование детей</t>
  </si>
  <si>
    <t xml:space="preserve">              Муниципальная программа "Развитие образования в Притобольном муниципальном округе Курганской области" на 2024-2026 годы</t>
  </si>
  <si>
    <t>0300110970</t>
  </si>
  <si>
    <t xml:space="preserve">  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</si>
  <si>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</si>
  <si>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Финансовое обеспечение деятельности дома детского творчества</t>
  </si>
  <si>
    <t>0320280301</t>
  </si>
  <si>
    <t xml:space="preserve">                  Финансовое обеспечение деятельности детско-юношеской спортивной школы</t>
  </si>
  <si>
    <t>0320280302</t>
  </si>
  <si>
    <t xml:space="preserve">        Профессиональная подготовка, переподготовка и повышение квалификации</t>
  </si>
  <si>
    <t xml:space="preserve">              Подпрограмма "Кадровое обеспечение системы образования Притобольного муниципального округа"</t>
  </si>
  <si>
    <t>0330000000</t>
  </si>
  <si>
    <t xml:space="preserve">                Организация предоставления дополнительного профессионального образования педагогическим работникам</t>
  </si>
  <si>
    <t>0330212130</t>
  </si>
  <si>
    <t xml:space="preserve">        Молодежная политика</t>
  </si>
  <si>
    <t xml:space="preserve">            Муниципальная программа Притобольного муниципального округа "Молодёжь Притоболья" на 2024-2026 годы</t>
  </si>
  <si>
    <t>0200000000</t>
  </si>
  <si>
    <t>0200189990</t>
  </si>
  <si>
    <t>0200289990</t>
  </si>
  <si>
    <t>0200389990</t>
  </si>
  <si>
    <t xml:space="preserve">        Другие вопросы в области образования</t>
  </si>
  <si>
    <t xml:space="preserve">                  Финансовое обеспечение деятельности методического кабинета</t>
  </si>
  <si>
    <t>0300280401</t>
  </si>
  <si>
    <t xml:space="preserve">                  Финансовое обеспечение деятельности группы хозяйственного обслуживания</t>
  </si>
  <si>
    <t>0300280403</t>
  </si>
  <si>
    <t xml:space="preserve">                Обеспечение деятельности аппарата управления</t>
  </si>
  <si>
    <t>0300280900</t>
  </si>
  <si>
    <t xml:space="preserve">                Исполнение государственных полномочий по содержанию органов опеки и попечительства</t>
  </si>
  <si>
    <t>0320112190</t>
  </si>
  <si>
    <t xml:space="preserve">                Исполнение государственных полномочий по содержанию органов местного самоуправления, осуществляющих полномочия по обеспечению жилыми помещениями</t>
  </si>
  <si>
    <t>0320112390</t>
  </si>
  <si>
    <t xml:space="preserve">                Организация отдыха детейв лагерях дневного пребывания в каникулярное время</t>
  </si>
  <si>
    <t>0320112430</t>
  </si>
  <si>
    <t xml:space="preserve">                Организация отдыха детей, находящихся в трудной жизненной ситуации, в лагерях дневного пребывания в каникулярное время</t>
  </si>
  <si>
    <t>0320112440</t>
  </si>
  <si>
    <t xml:space="preserve">                Организация отдыха детей в загородных оздоровительных лагерях в каникулярное время</t>
  </si>
  <si>
    <t>0320112450</t>
  </si>
  <si>
    <t xml:space="preserve">                Организация отдыха детей в лагерях дневного пребывания в каникулярное время</t>
  </si>
  <si>
    <t>03201S2430</t>
  </si>
  <si>
    <t>03201S2440</t>
  </si>
  <si>
    <t>03201S2450</t>
  </si>
  <si>
    <t xml:space="preserve">        Охрана семьи и детства</t>
  </si>
  <si>
    <t xml:space="preserve">                Выплата родителям (законным представителям) детей, посещающих образовательные организации, реализующие образовательную программу дошкольного образования, компенсации платы, взимаемой с родителей (законных представителей) за присмотр и уход за детьми</t>
  </si>
  <si>
    <t>0310112200</t>
  </si>
  <si>
    <t xml:space="preserve">                Содержание детей в приемных семьях</t>
  </si>
  <si>
    <t>0320111450</t>
  </si>
  <si>
    <t xml:space="preserve">                Выплата вознаграждения опекунам (попечителям), приемным родителям</t>
  </si>
  <si>
    <t>0320111460</t>
  </si>
  <si>
    <t xml:space="preserve">                Содержание детей в семьях опекунов (попечителей)</t>
  </si>
  <si>
    <t>0320111470</t>
  </si>
  <si>
    <t xml:space="preserve">                Выплата единовременного денежного пособия при достижении усыновленным (удочеренным) ребенком 10-летнего возраста</t>
  </si>
  <si>
    <t>0320111510</t>
  </si>
  <si>
    <t xml:space="preserve">                Выплаты единовременного денежного пособия при получении усыновленным (удочеренным) ребенком основного общего образования</t>
  </si>
  <si>
    <t>0320111530</t>
  </si>
  <si>
    <t xml:space="preserve">      ФИЗИЧЕСКАЯ КУЛЬТУРА И СПОРТ</t>
  </si>
  <si>
    <t xml:space="preserve">        Физическая культура</t>
  </si>
  <si>
    <t xml:space="preserve">            Муниципальная программа Притобольного муниципального округа "Развитие физической культуры и спорта в Притобольном муниципальном округе" на 2024-2026 годы</t>
  </si>
  <si>
    <t>1100000000</t>
  </si>
  <si>
    <t xml:space="preserve">                Развитие муниципальной системы физической культуры и спорта</t>
  </si>
  <si>
    <t>1100217800</t>
  </si>
  <si>
    <t>11002S7800</t>
  </si>
  <si>
    <t xml:space="preserve">    УПРАВЛЕНИЕ КУЛЬТУРЫ, СПОРТА, ТУРИЗМА И МОЛОДЕЖНОЙ ПОЛИТИКИ АДМИНИСТРАЦИИ ПРИТОБОЛЬНОГО МУНИЦИПАЛЬНОГО ОКРУГА КУРГАНСКОЙ ОБЛАСТИ</t>
  </si>
  <si>
    <t>760</t>
  </si>
  <si>
    <t xml:space="preserve">            Муниципальная программа Притобольного муниципального округа "Культура Притобольного муниципального округа" на 2024-2027годы"</t>
  </si>
  <si>
    <t>0400000000</t>
  </si>
  <si>
    <t>0400489990</t>
  </si>
  <si>
    <t xml:space="preserve">                Обустройство и восстановление воинских захоронений, находящихся в государственной собственности</t>
  </si>
  <si>
    <t>04004L2990</t>
  </si>
  <si>
    <t>0400380990</t>
  </si>
  <si>
    <t>0400389990</t>
  </si>
  <si>
    <t>5190010970</t>
  </si>
  <si>
    <t>0400180990</t>
  </si>
  <si>
    <t>0400189990</t>
  </si>
  <si>
    <t xml:space="preserve">                Обеспечение развития и укрепления материально-технической базы домов культуры в населённых пунктах с числом жителей до 50 тысяч человек</t>
  </si>
  <si>
    <t>04001L4670</t>
  </si>
  <si>
    <t>0400280990</t>
  </si>
  <si>
    <t>0400289990</t>
  </si>
  <si>
    <t xml:space="preserve">                Премии и гранты по постановлениям Курганской областной Думы</t>
  </si>
  <si>
    <t>5190018030</t>
  </si>
  <si>
    <t xml:space="preserve">        Другие вопросы в области культуры, кинематографии</t>
  </si>
  <si>
    <t>0400480502</t>
  </si>
  <si>
    <t>0400480900</t>
  </si>
  <si>
    <t xml:space="preserve">        Массовый спорт</t>
  </si>
  <si>
    <t>1100189990</t>
  </si>
  <si>
    <t xml:space="preserve">    ДУМА ПРИТОБОЛЬНОГО МУНИЦИПАЛЬНОГО ОКРУГА КУРГАНСКОЙ ОБЛАСТИ</t>
  </si>
  <si>
    <t>770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</si>
  <si>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</si>
  <si>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Обеспечение деятельности Думы Притобольного муниципального округа Курганской области</t>
  </si>
  <si>
    <t>5110000000</t>
  </si>
  <si>
    <t xml:space="preserve">                Председатель Думы Притобольного муниципального округа Курганской области</t>
  </si>
  <si>
    <t>5110084000</t>
  </si>
  <si>
    <t xml:space="preserve">                Депутаты Думы Притобольного муниципального округа Курганской области</t>
  </si>
  <si>
    <t>5110084500</t>
  </si>
  <si>
    <t xml:space="preserve">                Аппарат Думы Притобольного муниципального округа Курганской области</t>
  </si>
  <si>
    <t>5110084600</t>
  </si>
  <si>
    <t xml:space="preserve">    ФИНАНСОВОЕ УПРАВЛЕНИЕ АДМИНИСТРАЦИИ ПРИТОБОЛЬНОГО МУНИЦИПАЛЬНОГО ОКРУГА КУРГАНСКОЙ ОБЛАСТИ</t>
  </si>
  <si>
    <t>900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</si>
  <si>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</si>
  <si>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2710480900</t>
  </si>
  <si>
    <t>ВСЕГО РАСХОДОВ:</t>
  </si>
  <si>
    <t>Приложение 3 к решению Думы Притобольного муниципального округа Курганской области  от 27  ноября 2024 года  № 243  " О внесении изменений в решение Думы Притобольного округа Курганской области от 27     декабря 2023 года № 143 «О бюджете Притобольного муниципального округа Курганской области  на 2024 год и на плановый период 2025 и 2026 годов».                                             Приложение 7 к решениюДумы  Притобольного муниципального округа Курганской области   от 27     декабря 2023 года № 143     «О бюджете Притобольного муниципального округа Курганской области  на 2024 год и на плановый период 2025 и 2026 годов»</t>
  </si>
  <si>
    <t>Ведомственная структура расходов бюджета Притобольного муниципального округа Курганской области на 2024 год</t>
  </si>
  <si>
    <t>Рз.</t>
  </si>
  <si>
    <t>Пр</t>
  </si>
  <si>
    <t>01</t>
  </si>
  <si>
    <t>02</t>
  </si>
  <si>
    <t>00</t>
  </si>
  <si>
    <t>04</t>
  </si>
  <si>
    <t>05</t>
  </si>
  <si>
    <t>13</t>
  </si>
  <si>
    <t>03</t>
  </si>
  <si>
    <t>10</t>
  </si>
  <si>
    <t>14</t>
  </si>
  <si>
    <t>09</t>
  </si>
  <si>
    <t>12</t>
  </si>
  <si>
    <t>07</t>
  </si>
  <si>
    <t>06</t>
  </si>
  <si>
    <t>08</t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</si>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</sst>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b/>
      <sz val="12"/>
      <color indexed="8"/>
      <name val="Arial Cyr"/>
      <family val="2"/>
      <charset val="204"/>
    </font>
    <font>
      <b/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8" fillId="0" borderId="1" applyBorder="0" applyProtection="0">
      <alignment horizontal="center" wrapTex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" fontId="1" fillId="0" borderId="2" xfId="8" applyNumberFormat="1" applyProtection="1">
      <alignment horizontal="center" vertical="top" shrinkToFit="1"/>
    </xf>
    <xf numFmtId="0" fontId="1" fillId="0" borderId="2" xfId="7" applyNumberFormat="1" applyFont="1" applyProtection="1">
      <alignment vertical="top" wrapText="1"/>
    </xf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4" fontId="1" fillId="5" borderId="2" xfId="9" applyNumberFormat="1" applyFont="1" applyFill="1" applyProtection="1">
      <alignment horizontal="right" vertical="top" shrinkToFit="1"/>
    </xf>
    <xf numFmtId="4" fontId="1" fillId="5" borderId="2" xfId="12" applyNumberFormat="1" applyFont="1" applyFill="1" applyProtection="1">
      <alignment horizontal="right" vertical="top" shrinkToFit="1"/>
    </xf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7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164" fontId="7" fillId="5" borderId="2" xfId="9" applyNumberFormat="1" applyFont="1" applyFill="1" applyProtection="1">
      <alignment horizontal="right" vertical="top" shrinkToFit="1"/>
    </xf>
    <xf numFmtId="4" fontId="7" fillId="5" borderId="2" xfId="9" applyNumberFormat="1" applyFont="1" applyFill="1" applyProtection="1">
      <alignment horizontal="right" vertical="top" shrinkToFit="1"/>
    </xf>
    <xf numFmtId="0" fontId="1" fillId="0" borderId="1" xfId="1" applyNumberFormat="1" applyAlignment="1" applyProtection="1">
      <alignment wrapText="1"/>
    </xf>
    <xf numFmtId="0" fontId="9" fillId="6" borderId="1" xfId="25" applyNumberFormat="1" applyFont="1" applyFill="1" applyAlignment="1" applyProtection="1">
      <alignment wrapText="1"/>
    </xf>
    <xf numFmtId="49" fontId="1" fillId="0" borderId="2" xfId="8" applyNumberFormat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0" fontId="1" fillId="0" borderId="1" xfId="1" applyNumberFormat="1" applyAlignment="1">
      <alignment horizont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5" borderId="2" xfId="6" applyNumberFormat="1" applyFont="1" applyFill="1" applyProtection="1">
      <alignment horizontal="center" vertical="center" wrapText="1"/>
    </xf>
    <xf numFmtId="0" fontId="1" fillId="5" borderId="2" xfId="6" applyFont="1" applyFill="1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9" fillId="6" borderId="1" xfId="25" applyNumberFormat="1" applyFont="1" applyFill="1" applyAlignment="1" applyProtection="1">
      <alignment horizont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2" xfId="6" applyNumberFormat="1" applyFont="1" applyProtection="1">
      <alignment horizontal="center" vertical="center" wrapText="1"/>
    </xf>
    <xf numFmtId="0" fontId="1" fillId="0" borderId="2" xfId="6" applyFont="1">
      <alignment horizontal="center" vertical="center" wrapText="1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57" xfId="2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64"/>
  <sheetViews>
    <sheetView tabSelected="1" workbookViewId="0">
      <selection sqref="A1:G1048576"/>
    </sheetView>
  </sheetViews>
  <sheetFormatPr defaultColWidth="9.140625" defaultRowHeight="15" x14ac:dyDescent="0.25"/>
  <cols>
    <col min="1" max="1" width="37.28515625" style="6" customWidth="1"/>
    <col min="2" max="4" width="7.7109375" style="1" customWidth="1"/>
    <col min="5" max="5" width="13.85546875" style="1" customWidth="1"/>
    <col min="6" max="6" width="7.7109375" style="1" customWidth="1"/>
    <col min="7" max="7" width="14" style="10" customWidth="1"/>
    <col min="8" max="8" width="9.140625" style="1" customWidth="1"/>
    <col min="9" max="16384" width="9.140625" style="1"/>
  </cols>
  <sheetData>
    <row r="1" spans="1:8" ht="136.9" customHeight="1" x14ac:dyDescent="0.25">
      <c r="A1" s="15"/>
      <c r="B1" s="19" t="s">
        <v>347</v>
      </c>
      <c r="C1" s="19"/>
      <c r="D1" s="19"/>
      <c r="E1" s="19"/>
      <c r="F1" s="19"/>
      <c r="G1" s="19"/>
    </row>
    <row r="2" spans="1:8" x14ac:dyDescent="0.25">
      <c r="A2" s="28"/>
      <c r="B2" s="29"/>
      <c r="C2" s="29"/>
      <c r="D2" s="29"/>
      <c r="E2" s="29"/>
      <c r="F2" s="29"/>
      <c r="G2" s="29"/>
    </row>
    <row r="3" spans="1:8" ht="33.6" customHeight="1" x14ac:dyDescent="0.25">
      <c r="A3" s="30" t="s">
        <v>348</v>
      </c>
      <c r="B3" s="30"/>
      <c r="C3" s="30"/>
      <c r="D3" s="30"/>
      <c r="E3" s="30"/>
      <c r="F3" s="30"/>
      <c r="G3" s="30"/>
      <c r="H3" s="16"/>
    </row>
    <row r="4" spans="1:8" x14ac:dyDescent="0.25">
      <c r="A4" s="31" t="s">
        <v>0</v>
      </c>
      <c r="B4" s="32"/>
      <c r="C4" s="32"/>
      <c r="D4" s="32"/>
      <c r="E4" s="32"/>
      <c r="F4" s="32"/>
      <c r="G4" s="32"/>
    </row>
    <row r="5" spans="1:8" ht="14.45" customHeight="1" x14ac:dyDescent="0.25">
      <c r="A5" s="33" t="s">
        <v>1</v>
      </c>
      <c r="B5" s="20" t="s">
        <v>2</v>
      </c>
      <c r="C5" s="20" t="s">
        <v>349</v>
      </c>
      <c r="D5" s="20" t="s">
        <v>350</v>
      </c>
      <c r="E5" s="20" t="s">
        <v>3</v>
      </c>
      <c r="F5" s="20" t="s">
        <v>4</v>
      </c>
      <c r="G5" s="22" t="s">
        <v>5</v>
      </c>
    </row>
    <row r="6" spans="1:8" x14ac:dyDescent="0.25">
      <c r="A6" s="34"/>
      <c r="B6" s="21"/>
      <c r="C6" s="21"/>
      <c r="D6" s="21"/>
      <c r="E6" s="21"/>
      <c r="F6" s="21"/>
      <c r="G6" s="23"/>
    </row>
    <row r="7" spans="1:8" ht="51" x14ac:dyDescent="0.25">
      <c r="A7" s="11" t="s">
        <v>9</v>
      </c>
      <c r="B7" s="12" t="s">
        <v>10</v>
      </c>
      <c r="C7" s="12" t="s">
        <v>6</v>
      </c>
      <c r="D7" s="12" t="s">
        <v>6</v>
      </c>
      <c r="E7" s="12" t="s">
        <v>7</v>
      </c>
      <c r="F7" s="12" t="s">
        <v>8</v>
      </c>
      <c r="G7" s="13">
        <f>337431316.52/1000</f>
        <v>337431.31651999999</v>
      </c>
    </row>
    <row r="8" spans="1:8" ht="25.5" x14ac:dyDescent="0.25">
      <c r="A8" s="4" t="s">
        <v>11</v>
      </c>
      <c r="B8" s="3" t="s">
        <v>10</v>
      </c>
      <c r="C8" s="17" t="s">
        <v>351</v>
      </c>
      <c r="D8" s="17" t="s">
        <v>353</v>
      </c>
      <c r="E8" s="3" t="s">
        <v>7</v>
      </c>
      <c r="F8" s="3" t="s">
        <v>8</v>
      </c>
      <c r="G8" s="7">
        <f>(42264335.15+364000)/1000</f>
        <v>42628.335149999999</v>
      </c>
    </row>
    <row r="9" spans="1:8" ht="51" x14ac:dyDescent="0.25">
      <c r="A9" s="4" t="s">
        <v>12</v>
      </c>
      <c r="B9" s="3" t="s">
        <v>10</v>
      </c>
      <c r="C9" s="17" t="s">
        <v>351</v>
      </c>
      <c r="D9" s="17" t="s">
        <v>352</v>
      </c>
      <c r="E9" s="3" t="s">
        <v>7</v>
      </c>
      <c r="F9" s="3" t="s">
        <v>8</v>
      </c>
      <c r="G9" s="7">
        <f>2581459.76/1000</f>
        <v>2581.4597599999997</v>
      </c>
    </row>
    <row r="10" spans="1:8" ht="63.75" x14ac:dyDescent="0.25">
      <c r="A10" s="4" t="s">
        <v>13</v>
      </c>
      <c r="B10" s="3" t="s">
        <v>10</v>
      </c>
      <c r="C10" s="17" t="s">
        <v>351</v>
      </c>
      <c r="D10" s="17" t="s">
        <v>352</v>
      </c>
      <c r="E10" s="3" t="s">
        <v>14</v>
      </c>
      <c r="F10" s="3" t="s">
        <v>8</v>
      </c>
      <c r="G10" s="7">
        <f>2581459.76/1000</f>
        <v>2581.4597599999997</v>
      </c>
    </row>
    <row r="11" spans="1:8" ht="76.5" x14ac:dyDescent="0.25">
      <c r="A11" s="4" t="s">
        <v>15</v>
      </c>
      <c r="B11" s="3" t="s">
        <v>10</v>
      </c>
      <c r="C11" s="17" t="s">
        <v>351</v>
      </c>
      <c r="D11" s="17" t="s">
        <v>352</v>
      </c>
      <c r="E11" s="3" t="s">
        <v>16</v>
      </c>
      <c r="F11" s="3" t="s">
        <v>8</v>
      </c>
      <c r="G11" s="7">
        <f>1757959.76/1000</f>
        <v>1757.95976</v>
      </c>
    </row>
    <row r="12" spans="1:8" ht="38.25" x14ac:dyDescent="0.25">
      <c r="A12" s="4" t="s">
        <v>17</v>
      </c>
      <c r="B12" s="3" t="s">
        <v>10</v>
      </c>
      <c r="C12" s="17" t="s">
        <v>351</v>
      </c>
      <c r="D12" s="17" t="s">
        <v>352</v>
      </c>
      <c r="E12" s="3" t="s">
        <v>18</v>
      </c>
      <c r="F12" s="3" t="s">
        <v>8</v>
      </c>
      <c r="G12" s="7">
        <f>1757959.76/1000</f>
        <v>1757.95976</v>
      </c>
    </row>
    <row r="13" spans="1:8" ht="89.25" x14ac:dyDescent="0.25">
      <c r="A13" s="4" t="s">
        <v>19</v>
      </c>
      <c r="B13" s="3" t="s">
        <v>10</v>
      </c>
      <c r="C13" s="17" t="s">
        <v>351</v>
      </c>
      <c r="D13" s="17" t="s">
        <v>352</v>
      </c>
      <c r="E13" s="3" t="s">
        <v>18</v>
      </c>
      <c r="F13" s="3" t="s">
        <v>20</v>
      </c>
      <c r="G13" s="7">
        <f>1757959.76/1000</f>
        <v>1757.95976</v>
      </c>
    </row>
    <row r="14" spans="1:8" ht="25.5" x14ac:dyDescent="0.25">
      <c r="A14" s="4" t="s">
        <v>21</v>
      </c>
      <c r="B14" s="3" t="s">
        <v>10</v>
      </c>
      <c r="C14" s="17" t="s">
        <v>351</v>
      </c>
      <c r="D14" s="17" t="s">
        <v>352</v>
      </c>
      <c r="E14" s="3" t="s">
        <v>22</v>
      </c>
      <c r="F14" s="3" t="s">
        <v>8</v>
      </c>
      <c r="G14" s="7">
        <f>823500/1000</f>
        <v>823.5</v>
      </c>
    </row>
    <row r="15" spans="1:8" ht="25.5" x14ac:dyDescent="0.25">
      <c r="A15" s="4" t="s">
        <v>23</v>
      </c>
      <c r="B15" s="3" t="s">
        <v>10</v>
      </c>
      <c r="C15" s="17" t="s">
        <v>351</v>
      </c>
      <c r="D15" s="17" t="s">
        <v>352</v>
      </c>
      <c r="E15" s="3" t="s">
        <v>24</v>
      </c>
      <c r="F15" s="3" t="s">
        <v>8</v>
      </c>
      <c r="G15" s="7">
        <f>823500/1000</f>
        <v>823.5</v>
      </c>
    </row>
    <row r="16" spans="1:8" ht="25.5" x14ac:dyDescent="0.25">
      <c r="A16" s="4" t="s">
        <v>25</v>
      </c>
      <c r="B16" s="3" t="s">
        <v>10</v>
      </c>
      <c r="C16" s="17" t="s">
        <v>351</v>
      </c>
      <c r="D16" s="17" t="s">
        <v>352</v>
      </c>
      <c r="E16" s="3" t="s">
        <v>24</v>
      </c>
      <c r="F16" s="3" t="s">
        <v>8</v>
      </c>
      <c r="G16" s="7">
        <f>449100/1000</f>
        <v>449.1</v>
      </c>
    </row>
    <row r="17" spans="1:7" ht="89.25" x14ac:dyDescent="0.25">
      <c r="A17" s="4" t="s">
        <v>19</v>
      </c>
      <c r="B17" s="3" t="s">
        <v>10</v>
      </c>
      <c r="C17" s="17" t="s">
        <v>351</v>
      </c>
      <c r="D17" s="17" t="s">
        <v>352</v>
      </c>
      <c r="E17" s="3" t="s">
        <v>24</v>
      </c>
      <c r="F17" s="3" t="s">
        <v>20</v>
      </c>
      <c r="G17" s="7">
        <f>449100/1000</f>
        <v>449.1</v>
      </c>
    </row>
    <row r="18" spans="1:7" ht="63.75" x14ac:dyDescent="0.25">
      <c r="A18" s="4" t="s">
        <v>26</v>
      </c>
      <c r="B18" s="3" t="s">
        <v>10</v>
      </c>
      <c r="C18" s="17" t="s">
        <v>351</v>
      </c>
      <c r="D18" s="17" t="s">
        <v>352</v>
      </c>
      <c r="E18" s="3" t="s">
        <v>27</v>
      </c>
      <c r="F18" s="3" t="s">
        <v>8</v>
      </c>
      <c r="G18" s="7">
        <f>374400/1000</f>
        <v>374.4</v>
      </c>
    </row>
    <row r="19" spans="1:7" ht="89.25" x14ac:dyDescent="0.25">
      <c r="A19" s="4" t="s">
        <v>19</v>
      </c>
      <c r="B19" s="3" t="s">
        <v>10</v>
      </c>
      <c r="C19" s="17" t="s">
        <v>351</v>
      </c>
      <c r="D19" s="17" t="s">
        <v>352</v>
      </c>
      <c r="E19" s="3" t="s">
        <v>27</v>
      </c>
      <c r="F19" s="3" t="s">
        <v>20</v>
      </c>
      <c r="G19" s="7">
        <f>374400/1000</f>
        <v>374.4</v>
      </c>
    </row>
    <row r="20" spans="1:7" ht="63.75" x14ac:dyDescent="0.25">
      <c r="A20" s="4" t="s">
        <v>28</v>
      </c>
      <c r="B20" s="3" t="s">
        <v>10</v>
      </c>
      <c r="C20" s="17" t="s">
        <v>351</v>
      </c>
      <c r="D20" s="17" t="s">
        <v>354</v>
      </c>
      <c r="E20" s="3" t="s">
        <v>7</v>
      </c>
      <c r="F20" s="3" t="s">
        <v>8</v>
      </c>
      <c r="G20" s="7">
        <f>(35518514.95+364000)/1000</f>
        <v>35882.514950000004</v>
      </c>
    </row>
    <row r="21" spans="1:7" ht="63.75" x14ac:dyDescent="0.25">
      <c r="A21" s="4" t="s">
        <v>13</v>
      </c>
      <c r="B21" s="3" t="s">
        <v>10</v>
      </c>
      <c r="C21" s="17" t="s">
        <v>351</v>
      </c>
      <c r="D21" s="17" t="s">
        <v>354</v>
      </c>
      <c r="E21" s="3" t="s">
        <v>14</v>
      </c>
      <c r="F21" s="3" t="s">
        <v>8</v>
      </c>
      <c r="G21" s="7">
        <f>(35518514.95+364000)/1000</f>
        <v>35882.514950000004</v>
      </c>
    </row>
    <row r="22" spans="1:7" ht="76.5" x14ac:dyDescent="0.25">
      <c r="A22" s="4" t="s">
        <v>15</v>
      </c>
      <c r="B22" s="3" t="s">
        <v>10</v>
      </c>
      <c r="C22" s="17" t="s">
        <v>351</v>
      </c>
      <c r="D22" s="17" t="s">
        <v>354</v>
      </c>
      <c r="E22" s="3" t="s">
        <v>16</v>
      </c>
      <c r="F22" s="3" t="s">
        <v>8</v>
      </c>
      <c r="G22" s="7">
        <f>34701614.96/1000</f>
        <v>34701.614959999999</v>
      </c>
    </row>
    <row r="23" spans="1:7" ht="38.25" x14ac:dyDescent="0.25">
      <c r="A23" s="4" t="s">
        <v>29</v>
      </c>
      <c r="B23" s="3" t="s">
        <v>10</v>
      </c>
      <c r="C23" s="17" t="s">
        <v>351</v>
      </c>
      <c r="D23" s="17" t="s">
        <v>354</v>
      </c>
      <c r="E23" s="3" t="s">
        <v>30</v>
      </c>
      <c r="F23" s="3" t="s">
        <v>8</v>
      </c>
      <c r="G23" s="7">
        <f>34701614.96/1000</f>
        <v>34701.614959999999</v>
      </c>
    </row>
    <row r="24" spans="1:7" ht="89.25" x14ac:dyDescent="0.25">
      <c r="A24" s="4" t="s">
        <v>19</v>
      </c>
      <c r="B24" s="3" t="s">
        <v>10</v>
      </c>
      <c r="C24" s="17" t="s">
        <v>351</v>
      </c>
      <c r="D24" s="17" t="s">
        <v>354</v>
      </c>
      <c r="E24" s="3" t="s">
        <v>30</v>
      </c>
      <c r="F24" s="3" t="s">
        <v>20</v>
      </c>
      <c r="G24" s="7">
        <f>26673546.34/1000</f>
        <v>26673.546340000001</v>
      </c>
    </row>
    <row r="25" spans="1:7" ht="38.25" x14ac:dyDescent="0.25">
      <c r="A25" s="4" t="s">
        <v>31</v>
      </c>
      <c r="B25" s="3" t="s">
        <v>10</v>
      </c>
      <c r="C25" s="17" t="s">
        <v>351</v>
      </c>
      <c r="D25" s="17" t="s">
        <v>354</v>
      </c>
      <c r="E25" s="3" t="s">
        <v>30</v>
      </c>
      <c r="F25" s="3" t="s">
        <v>32</v>
      </c>
      <c r="G25" s="7">
        <f>7923421.12/1000</f>
        <v>7923.42112</v>
      </c>
    </row>
    <row r="26" spans="1:7" ht="25.5" x14ac:dyDescent="0.25">
      <c r="A26" s="4" t="s">
        <v>35</v>
      </c>
      <c r="B26" s="3" t="s">
        <v>10</v>
      </c>
      <c r="C26" s="17" t="s">
        <v>351</v>
      </c>
      <c r="D26" s="17" t="s">
        <v>354</v>
      </c>
      <c r="E26" s="3" t="s">
        <v>30</v>
      </c>
      <c r="F26" s="3" t="s">
        <v>36</v>
      </c>
      <c r="G26" s="7">
        <f>104647.5/1000</f>
        <v>104.64749999999999</v>
      </c>
    </row>
    <row r="27" spans="1:7" ht="25.5" x14ac:dyDescent="0.25">
      <c r="A27" s="4" t="s">
        <v>21</v>
      </c>
      <c r="B27" s="3" t="s">
        <v>10</v>
      </c>
      <c r="C27" s="17" t="s">
        <v>351</v>
      </c>
      <c r="D27" s="17" t="s">
        <v>354</v>
      </c>
      <c r="E27" s="3" t="s">
        <v>22</v>
      </c>
      <c r="F27" s="3" t="s">
        <v>8</v>
      </c>
      <c r="G27" s="7">
        <f>(816899.99+364000)/1000</f>
        <v>1180.8999899999999</v>
      </c>
    </row>
    <row r="28" spans="1:7" ht="25.5" x14ac:dyDescent="0.25">
      <c r="A28" s="4" t="s">
        <v>25</v>
      </c>
      <c r="B28" s="3" t="s">
        <v>10</v>
      </c>
      <c r="C28" s="17" t="s">
        <v>351</v>
      </c>
      <c r="D28" s="17" t="s">
        <v>354</v>
      </c>
      <c r="E28" s="3" t="s">
        <v>24</v>
      </c>
      <c r="F28" s="3" t="s">
        <v>8</v>
      </c>
      <c r="G28" s="7">
        <f>464900/1000</f>
        <v>464.9</v>
      </c>
    </row>
    <row r="29" spans="1:7" ht="89.25" x14ac:dyDescent="0.25">
      <c r="A29" s="4" t="s">
        <v>19</v>
      </c>
      <c r="B29" s="3" t="s">
        <v>10</v>
      </c>
      <c r="C29" s="17" t="s">
        <v>351</v>
      </c>
      <c r="D29" s="17" t="s">
        <v>354</v>
      </c>
      <c r="E29" s="3" t="s">
        <v>24</v>
      </c>
      <c r="F29" s="3" t="s">
        <v>20</v>
      </c>
      <c r="G29" s="7">
        <f>464900/1000</f>
        <v>464.9</v>
      </c>
    </row>
    <row r="30" spans="1:7" ht="63.75" x14ac:dyDescent="0.25">
      <c r="A30" s="4" t="s">
        <v>26</v>
      </c>
      <c r="B30" s="3" t="s">
        <v>10</v>
      </c>
      <c r="C30" s="17" t="s">
        <v>351</v>
      </c>
      <c r="D30" s="17" t="s">
        <v>354</v>
      </c>
      <c r="E30" s="3" t="s">
        <v>27</v>
      </c>
      <c r="F30" s="3" t="s">
        <v>8</v>
      </c>
      <c r="G30" s="7">
        <f>G31</f>
        <v>715.99999000000003</v>
      </c>
    </row>
    <row r="31" spans="1:7" ht="89.25" x14ac:dyDescent="0.25">
      <c r="A31" s="4" t="s">
        <v>19</v>
      </c>
      <c r="B31" s="3" t="s">
        <v>10</v>
      </c>
      <c r="C31" s="17" t="s">
        <v>351</v>
      </c>
      <c r="D31" s="17" t="s">
        <v>354</v>
      </c>
      <c r="E31" s="3" t="s">
        <v>27</v>
      </c>
      <c r="F31" s="3" t="s">
        <v>20</v>
      </c>
      <c r="G31" s="7">
        <f>(351999.99+364000)/1000</f>
        <v>715.99999000000003</v>
      </c>
    </row>
    <row r="32" spans="1:7" x14ac:dyDescent="0.25">
      <c r="A32" s="4" t="s">
        <v>37</v>
      </c>
      <c r="B32" s="3" t="s">
        <v>10</v>
      </c>
      <c r="C32" s="17" t="s">
        <v>351</v>
      </c>
      <c r="D32" s="17" t="s">
        <v>355</v>
      </c>
      <c r="E32" s="3" t="s">
        <v>7</v>
      </c>
      <c r="F32" s="3" t="s">
        <v>8</v>
      </c>
      <c r="G32" s="7">
        <f>1000/1000</f>
        <v>1</v>
      </c>
    </row>
    <row r="33" spans="1:7" ht="63.75" x14ac:dyDescent="0.25">
      <c r="A33" s="4" t="s">
        <v>13</v>
      </c>
      <c r="B33" s="3" t="s">
        <v>10</v>
      </c>
      <c r="C33" s="17" t="s">
        <v>351</v>
      </c>
      <c r="D33" s="17" t="s">
        <v>355</v>
      </c>
      <c r="E33" s="3" t="s">
        <v>14</v>
      </c>
      <c r="F33" s="3" t="s">
        <v>8</v>
      </c>
      <c r="G33" s="7">
        <f>1000/1000</f>
        <v>1</v>
      </c>
    </row>
    <row r="34" spans="1:7" ht="25.5" x14ac:dyDescent="0.25">
      <c r="A34" s="4" t="s">
        <v>21</v>
      </c>
      <c r="B34" s="3" t="s">
        <v>10</v>
      </c>
      <c r="C34" s="17" t="s">
        <v>351</v>
      </c>
      <c r="D34" s="17" t="s">
        <v>355</v>
      </c>
      <c r="E34" s="3" t="s">
        <v>22</v>
      </c>
      <c r="F34" s="3" t="s">
        <v>8</v>
      </c>
      <c r="G34" s="7">
        <f>1000/1000</f>
        <v>1</v>
      </c>
    </row>
    <row r="35" spans="1:7" ht="63.75" x14ac:dyDescent="0.25">
      <c r="A35" s="4" t="s">
        <v>38</v>
      </c>
      <c r="B35" s="3" t="s">
        <v>10</v>
      </c>
      <c r="C35" s="17" t="s">
        <v>351</v>
      </c>
      <c r="D35" s="17" t="s">
        <v>355</v>
      </c>
      <c r="E35" s="3" t="s">
        <v>39</v>
      </c>
      <c r="F35" s="3" t="s">
        <v>8</v>
      </c>
      <c r="G35" s="7">
        <f>1000/1000</f>
        <v>1</v>
      </c>
    </row>
    <row r="36" spans="1:7" ht="38.25" x14ac:dyDescent="0.25">
      <c r="A36" s="4" t="s">
        <v>31</v>
      </c>
      <c r="B36" s="3" t="s">
        <v>10</v>
      </c>
      <c r="C36" s="17" t="s">
        <v>351</v>
      </c>
      <c r="D36" s="17" t="s">
        <v>355</v>
      </c>
      <c r="E36" s="3" t="s">
        <v>39</v>
      </c>
      <c r="F36" s="3" t="s">
        <v>32</v>
      </c>
      <c r="G36" s="7">
        <f>1000/1000</f>
        <v>1</v>
      </c>
    </row>
    <row r="37" spans="1:7" ht="25.5" x14ac:dyDescent="0.25">
      <c r="A37" s="4" t="s">
        <v>40</v>
      </c>
      <c r="B37" s="3" t="s">
        <v>10</v>
      </c>
      <c r="C37" s="17" t="s">
        <v>351</v>
      </c>
      <c r="D37" s="17" t="s">
        <v>356</v>
      </c>
      <c r="E37" s="3" t="s">
        <v>7</v>
      </c>
      <c r="F37" s="3" t="s">
        <v>8</v>
      </c>
      <c r="G37" s="7">
        <f>4163360.44/1000</f>
        <v>4163.3604400000004</v>
      </c>
    </row>
    <row r="38" spans="1:7" ht="114.75" x14ac:dyDescent="0.25">
      <c r="A38" s="4" t="s">
        <v>41</v>
      </c>
      <c r="B38" s="3" t="s">
        <v>10</v>
      </c>
      <c r="C38" s="17" t="s">
        <v>351</v>
      </c>
      <c r="D38" s="17" t="s">
        <v>356</v>
      </c>
      <c r="E38" s="3" t="s">
        <v>42</v>
      </c>
      <c r="F38" s="3" t="s">
        <v>8</v>
      </c>
      <c r="G38" s="7">
        <f>9300/1000</f>
        <v>9.3000000000000007</v>
      </c>
    </row>
    <row r="39" spans="1:7" ht="76.5" x14ac:dyDescent="0.25">
      <c r="A39" s="4" t="s">
        <v>43</v>
      </c>
      <c r="B39" s="3" t="s">
        <v>10</v>
      </c>
      <c r="C39" s="17" t="s">
        <v>351</v>
      </c>
      <c r="D39" s="17" t="s">
        <v>356</v>
      </c>
      <c r="E39" s="3" t="s">
        <v>44</v>
      </c>
      <c r="F39" s="3" t="s">
        <v>8</v>
      </c>
      <c r="G39" s="7">
        <f>9300/1000</f>
        <v>9.3000000000000007</v>
      </c>
    </row>
    <row r="40" spans="1:7" ht="25.5" x14ac:dyDescent="0.25">
      <c r="A40" s="4" t="s">
        <v>45</v>
      </c>
      <c r="B40" s="3" t="s">
        <v>10</v>
      </c>
      <c r="C40" s="17" t="s">
        <v>351</v>
      </c>
      <c r="D40" s="17" t="s">
        <v>356</v>
      </c>
      <c r="E40" s="3" t="s">
        <v>46</v>
      </c>
      <c r="F40" s="3" t="s">
        <v>8</v>
      </c>
      <c r="G40" s="7">
        <f>9300/1000</f>
        <v>9.3000000000000007</v>
      </c>
    </row>
    <row r="41" spans="1:7" ht="38.25" x14ac:dyDescent="0.25">
      <c r="A41" s="4" t="s">
        <v>31</v>
      </c>
      <c r="B41" s="3" t="s">
        <v>10</v>
      </c>
      <c r="C41" s="17" t="s">
        <v>351</v>
      </c>
      <c r="D41" s="17" t="s">
        <v>356</v>
      </c>
      <c r="E41" s="3" t="s">
        <v>46</v>
      </c>
      <c r="F41" s="3" t="s">
        <v>32</v>
      </c>
      <c r="G41" s="7">
        <f>9300/1000</f>
        <v>9.3000000000000007</v>
      </c>
    </row>
    <row r="42" spans="1:7" ht="63.75" x14ac:dyDescent="0.25">
      <c r="A42" s="4" t="s">
        <v>47</v>
      </c>
      <c r="B42" s="3" t="s">
        <v>10</v>
      </c>
      <c r="C42" s="17" t="s">
        <v>351</v>
      </c>
      <c r="D42" s="17" t="s">
        <v>356</v>
      </c>
      <c r="E42" s="3" t="s">
        <v>48</v>
      </c>
      <c r="F42" s="3" t="s">
        <v>8</v>
      </c>
      <c r="G42" s="7">
        <f>254573.55/1000</f>
        <v>254.57354999999998</v>
      </c>
    </row>
    <row r="43" spans="1:7" ht="76.5" x14ac:dyDescent="0.25">
      <c r="A43" s="4" t="s">
        <v>49</v>
      </c>
      <c r="B43" s="3" t="s">
        <v>10</v>
      </c>
      <c r="C43" s="17" t="s">
        <v>351</v>
      </c>
      <c r="D43" s="17" t="s">
        <v>356</v>
      </c>
      <c r="E43" s="3" t="s">
        <v>50</v>
      </c>
      <c r="F43" s="3" t="s">
        <v>8</v>
      </c>
      <c r="G43" s="7">
        <f>207708.55/1000</f>
        <v>207.70855</v>
      </c>
    </row>
    <row r="44" spans="1:7" ht="25.5" x14ac:dyDescent="0.25">
      <c r="A44" s="4" t="s">
        <v>51</v>
      </c>
      <c r="B44" s="3" t="s">
        <v>10</v>
      </c>
      <c r="C44" s="17" t="s">
        <v>351</v>
      </c>
      <c r="D44" s="17" t="s">
        <v>356</v>
      </c>
      <c r="E44" s="3" t="s">
        <v>52</v>
      </c>
      <c r="F44" s="3" t="s">
        <v>8</v>
      </c>
      <c r="G44" s="7">
        <f>18058.55/1000</f>
        <v>18.05855</v>
      </c>
    </row>
    <row r="45" spans="1:7" ht="38.25" x14ac:dyDescent="0.25">
      <c r="A45" s="4" t="s">
        <v>31</v>
      </c>
      <c r="B45" s="3" t="s">
        <v>10</v>
      </c>
      <c r="C45" s="17" t="s">
        <v>351</v>
      </c>
      <c r="D45" s="17" t="s">
        <v>356</v>
      </c>
      <c r="E45" s="3" t="s">
        <v>52</v>
      </c>
      <c r="F45" s="3" t="s">
        <v>32</v>
      </c>
      <c r="G45" s="7">
        <f>18058.55/1000</f>
        <v>18.05855</v>
      </c>
    </row>
    <row r="46" spans="1:7" ht="25.5" x14ac:dyDescent="0.25">
      <c r="A46" s="4" t="s">
        <v>51</v>
      </c>
      <c r="B46" s="3" t="s">
        <v>10</v>
      </c>
      <c r="C46" s="17" t="s">
        <v>351</v>
      </c>
      <c r="D46" s="17" t="s">
        <v>356</v>
      </c>
      <c r="E46" s="3" t="s">
        <v>53</v>
      </c>
      <c r="F46" s="3" t="s">
        <v>8</v>
      </c>
      <c r="G46" s="7">
        <f>189650/1000</f>
        <v>189.65</v>
      </c>
    </row>
    <row r="47" spans="1:7" ht="38.25" x14ac:dyDescent="0.25">
      <c r="A47" s="4" t="s">
        <v>31</v>
      </c>
      <c r="B47" s="3" t="s">
        <v>10</v>
      </c>
      <c r="C47" s="17" t="s">
        <v>351</v>
      </c>
      <c r="D47" s="17" t="s">
        <v>356</v>
      </c>
      <c r="E47" s="3" t="s">
        <v>53</v>
      </c>
      <c r="F47" s="3" t="s">
        <v>32</v>
      </c>
      <c r="G47" s="7">
        <f>189650/1000</f>
        <v>189.65</v>
      </c>
    </row>
    <row r="48" spans="1:7" ht="76.5" x14ac:dyDescent="0.25">
      <c r="A48" s="4" t="s">
        <v>56</v>
      </c>
      <c r="B48" s="3" t="s">
        <v>10</v>
      </c>
      <c r="C48" s="17" t="s">
        <v>351</v>
      </c>
      <c r="D48" s="17" t="s">
        <v>356</v>
      </c>
      <c r="E48" s="3" t="s">
        <v>57</v>
      </c>
      <c r="F48" s="3" t="s">
        <v>8</v>
      </c>
      <c r="G48" s="7">
        <f>46865/1000</f>
        <v>46.865000000000002</v>
      </c>
    </row>
    <row r="49" spans="1:7" ht="51" x14ac:dyDescent="0.25">
      <c r="A49" s="4" t="s">
        <v>58</v>
      </c>
      <c r="B49" s="3" t="s">
        <v>10</v>
      </c>
      <c r="C49" s="17" t="s">
        <v>351</v>
      </c>
      <c r="D49" s="17" t="s">
        <v>356</v>
      </c>
      <c r="E49" s="3" t="s">
        <v>59</v>
      </c>
      <c r="F49" s="3" t="s">
        <v>8</v>
      </c>
      <c r="G49" s="7">
        <f>46865/1000</f>
        <v>46.865000000000002</v>
      </c>
    </row>
    <row r="50" spans="1:7" ht="51" x14ac:dyDescent="0.25">
      <c r="A50" s="4" t="s">
        <v>60</v>
      </c>
      <c r="B50" s="3" t="s">
        <v>10</v>
      </c>
      <c r="C50" s="17" t="s">
        <v>351</v>
      </c>
      <c r="D50" s="17" t="s">
        <v>356</v>
      </c>
      <c r="E50" s="3" t="s">
        <v>61</v>
      </c>
      <c r="F50" s="3" t="s">
        <v>8</v>
      </c>
      <c r="G50" s="7">
        <f>46865/1000</f>
        <v>46.865000000000002</v>
      </c>
    </row>
    <row r="51" spans="1:7" ht="38.25" x14ac:dyDescent="0.25">
      <c r="A51" s="4" t="s">
        <v>31</v>
      </c>
      <c r="B51" s="3" t="s">
        <v>10</v>
      </c>
      <c r="C51" s="17" t="s">
        <v>351</v>
      </c>
      <c r="D51" s="17" t="s">
        <v>356</v>
      </c>
      <c r="E51" s="3" t="s">
        <v>61</v>
      </c>
      <c r="F51" s="3" t="s">
        <v>32</v>
      </c>
      <c r="G51" s="7">
        <f>46865/1000</f>
        <v>46.865000000000002</v>
      </c>
    </row>
    <row r="52" spans="1:7" ht="63.75" x14ac:dyDescent="0.25">
      <c r="A52" s="4" t="s">
        <v>13</v>
      </c>
      <c r="B52" s="3" t="s">
        <v>10</v>
      </c>
      <c r="C52" s="17" t="s">
        <v>351</v>
      </c>
      <c r="D52" s="17" t="s">
        <v>356</v>
      </c>
      <c r="E52" s="3" t="s">
        <v>14</v>
      </c>
      <c r="F52" s="3" t="s">
        <v>8</v>
      </c>
      <c r="G52" s="7">
        <f>3899486.89/1000</f>
        <v>3899.4868900000001</v>
      </c>
    </row>
    <row r="53" spans="1:7" ht="76.5" x14ac:dyDescent="0.25">
      <c r="A53" s="4" t="s">
        <v>15</v>
      </c>
      <c r="B53" s="3" t="s">
        <v>10</v>
      </c>
      <c r="C53" s="17" t="s">
        <v>351</v>
      </c>
      <c r="D53" s="17" t="s">
        <v>356</v>
      </c>
      <c r="E53" s="3" t="s">
        <v>16</v>
      </c>
      <c r="F53" s="3" t="s">
        <v>8</v>
      </c>
      <c r="G53" s="7">
        <f>1330276.82/1000</f>
        <v>1330.27682</v>
      </c>
    </row>
    <row r="54" spans="1:7" ht="38.25" x14ac:dyDescent="0.25">
      <c r="A54" s="4" t="s">
        <v>29</v>
      </c>
      <c r="B54" s="3" t="s">
        <v>10</v>
      </c>
      <c r="C54" s="17" t="s">
        <v>351</v>
      </c>
      <c r="D54" s="17" t="s">
        <v>356</v>
      </c>
      <c r="E54" s="3" t="s">
        <v>30</v>
      </c>
      <c r="F54" s="3" t="s">
        <v>8</v>
      </c>
      <c r="G54" s="7">
        <f>1330276.82/1000</f>
        <v>1330.27682</v>
      </c>
    </row>
    <row r="55" spans="1:7" ht="89.25" x14ac:dyDescent="0.25">
      <c r="A55" s="4" t="s">
        <v>19</v>
      </c>
      <c r="B55" s="3" t="s">
        <v>10</v>
      </c>
      <c r="C55" s="17" t="s">
        <v>351</v>
      </c>
      <c r="D55" s="17" t="s">
        <v>356</v>
      </c>
      <c r="E55" s="3" t="s">
        <v>30</v>
      </c>
      <c r="F55" s="3" t="s">
        <v>20</v>
      </c>
      <c r="G55" s="7">
        <f>446516.8/1000</f>
        <v>446.51679999999999</v>
      </c>
    </row>
    <row r="56" spans="1:7" ht="38.25" x14ac:dyDescent="0.25">
      <c r="A56" s="4" t="s">
        <v>31</v>
      </c>
      <c r="B56" s="3" t="s">
        <v>10</v>
      </c>
      <c r="C56" s="17" t="s">
        <v>351</v>
      </c>
      <c r="D56" s="17" t="s">
        <v>356</v>
      </c>
      <c r="E56" s="3" t="s">
        <v>30</v>
      </c>
      <c r="F56" s="3" t="s">
        <v>32</v>
      </c>
      <c r="G56" s="7">
        <f>310974.94/1000</f>
        <v>310.97494</v>
      </c>
    </row>
    <row r="57" spans="1:7" ht="25.5" x14ac:dyDescent="0.25">
      <c r="A57" s="4" t="s">
        <v>35</v>
      </c>
      <c r="B57" s="3" t="s">
        <v>10</v>
      </c>
      <c r="C57" s="17" t="s">
        <v>351</v>
      </c>
      <c r="D57" s="17" t="s">
        <v>356</v>
      </c>
      <c r="E57" s="3" t="s">
        <v>30</v>
      </c>
      <c r="F57" s="3" t="s">
        <v>36</v>
      </c>
      <c r="G57" s="7">
        <f>572785.08/1000</f>
        <v>572.78507999999999</v>
      </c>
    </row>
    <row r="58" spans="1:7" ht="25.5" x14ac:dyDescent="0.25">
      <c r="A58" s="4" t="s">
        <v>62</v>
      </c>
      <c r="B58" s="3" t="s">
        <v>10</v>
      </c>
      <c r="C58" s="17" t="s">
        <v>351</v>
      </c>
      <c r="D58" s="17" t="s">
        <v>356</v>
      </c>
      <c r="E58" s="3" t="s">
        <v>63</v>
      </c>
      <c r="F58" s="3" t="s">
        <v>8</v>
      </c>
      <c r="G58" s="7">
        <f>51118.06/1000</f>
        <v>51.11806</v>
      </c>
    </row>
    <row r="59" spans="1:7" ht="25.5" x14ac:dyDescent="0.25">
      <c r="A59" s="4" t="s">
        <v>64</v>
      </c>
      <c r="B59" s="3" t="s">
        <v>10</v>
      </c>
      <c r="C59" s="17" t="s">
        <v>351</v>
      </c>
      <c r="D59" s="17" t="s">
        <v>356</v>
      </c>
      <c r="E59" s="3" t="s">
        <v>65</v>
      </c>
      <c r="F59" s="3" t="s">
        <v>8</v>
      </c>
      <c r="G59" s="7">
        <f>49118.06/1000</f>
        <v>49.11806</v>
      </c>
    </row>
    <row r="60" spans="1:7" ht="38.25" x14ac:dyDescent="0.25">
      <c r="A60" s="4" t="s">
        <v>31</v>
      </c>
      <c r="B60" s="3" t="s">
        <v>10</v>
      </c>
      <c r="C60" s="17" t="s">
        <v>351</v>
      </c>
      <c r="D60" s="17" t="s">
        <v>356</v>
      </c>
      <c r="E60" s="3" t="s">
        <v>65</v>
      </c>
      <c r="F60" s="3" t="s">
        <v>32</v>
      </c>
      <c r="G60" s="7">
        <f>49118.06/1000</f>
        <v>49.11806</v>
      </c>
    </row>
    <row r="61" spans="1:7" ht="25.5" x14ac:dyDescent="0.25">
      <c r="A61" s="4" t="s">
        <v>66</v>
      </c>
      <c r="B61" s="3" t="s">
        <v>10</v>
      </c>
      <c r="C61" s="17" t="s">
        <v>351</v>
      </c>
      <c r="D61" s="17" t="s">
        <v>356</v>
      </c>
      <c r="E61" s="3" t="s">
        <v>67</v>
      </c>
      <c r="F61" s="3" t="s">
        <v>8</v>
      </c>
      <c r="G61" s="7">
        <f>2000/1000</f>
        <v>2</v>
      </c>
    </row>
    <row r="62" spans="1:7" ht="38.25" x14ac:dyDescent="0.25">
      <c r="A62" s="4" t="s">
        <v>31</v>
      </c>
      <c r="B62" s="3" t="s">
        <v>10</v>
      </c>
      <c r="C62" s="17" t="s">
        <v>351</v>
      </c>
      <c r="D62" s="17" t="s">
        <v>356</v>
      </c>
      <c r="E62" s="3" t="s">
        <v>67</v>
      </c>
      <c r="F62" s="3" t="s">
        <v>32</v>
      </c>
      <c r="G62" s="7">
        <f>2000/1000</f>
        <v>2</v>
      </c>
    </row>
    <row r="63" spans="1:7" ht="63.75" x14ac:dyDescent="0.25">
      <c r="A63" s="4" t="s">
        <v>68</v>
      </c>
      <c r="B63" s="3" t="s">
        <v>10</v>
      </c>
      <c r="C63" s="17" t="s">
        <v>351</v>
      </c>
      <c r="D63" s="17" t="s">
        <v>356</v>
      </c>
      <c r="E63" s="3" t="s">
        <v>69</v>
      </c>
      <c r="F63" s="3" t="s">
        <v>8</v>
      </c>
      <c r="G63" s="7">
        <f>943495.01/1000</f>
        <v>943.49500999999998</v>
      </c>
    </row>
    <row r="64" spans="1:7" ht="38.25" x14ac:dyDescent="0.25">
      <c r="A64" s="4" t="s">
        <v>70</v>
      </c>
      <c r="B64" s="3" t="s">
        <v>10</v>
      </c>
      <c r="C64" s="17" t="s">
        <v>351</v>
      </c>
      <c r="D64" s="17" t="s">
        <v>356</v>
      </c>
      <c r="E64" s="3" t="s">
        <v>71</v>
      </c>
      <c r="F64" s="3" t="s">
        <v>8</v>
      </c>
      <c r="G64" s="7">
        <f>66954/1000</f>
        <v>66.953999999999994</v>
      </c>
    </row>
    <row r="65" spans="1:7" ht="25.5" x14ac:dyDescent="0.25">
      <c r="A65" s="4" t="s">
        <v>35</v>
      </c>
      <c r="B65" s="3" t="s">
        <v>10</v>
      </c>
      <c r="C65" s="17" t="s">
        <v>351</v>
      </c>
      <c r="D65" s="17" t="s">
        <v>356</v>
      </c>
      <c r="E65" s="3" t="s">
        <v>71</v>
      </c>
      <c r="F65" s="3" t="s">
        <v>36</v>
      </c>
      <c r="G65" s="7">
        <f>66954/1000</f>
        <v>66.953999999999994</v>
      </c>
    </row>
    <row r="66" spans="1:7" ht="25.5" x14ac:dyDescent="0.25">
      <c r="A66" s="4" t="s">
        <v>45</v>
      </c>
      <c r="B66" s="3" t="s">
        <v>10</v>
      </c>
      <c r="C66" s="17" t="s">
        <v>351</v>
      </c>
      <c r="D66" s="17" t="s">
        <v>356</v>
      </c>
      <c r="E66" s="3" t="s">
        <v>72</v>
      </c>
      <c r="F66" s="3" t="s">
        <v>8</v>
      </c>
      <c r="G66" s="7">
        <f>876541.01/1000</f>
        <v>876.54101000000003</v>
      </c>
    </row>
    <row r="67" spans="1:7" ht="38.25" x14ac:dyDescent="0.25">
      <c r="A67" s="4" t="s">
        <v>31</v>
      </c>
      <c r="B67" s="3" t="s">
        <v>10</v>
      </c>
      <c r="C67" s="17" t="s">
        <v>351</v>
      </c>
      <c r="D67" s="17" t="s">
        <v>356</v>
      </c>
      <c r="E67" s="3" t="s">
        <v>72</v>
      </c>
      <c r="F67" s="3" t="s">
        <v>32</v>
      </c>
      <c r="G67" s="7">
        <f>748126/1000</f>
        <v>748.12599999999998</v>
      </c>
    </row>
    <row r="68" spans="1:7" ht="25.5" x14ac:dyDescent="0.25">
      <c r="A68" s="4" t="s">
        <v>35</v>
      </c>
      <c r="B68" s="3" t="s">
        <v>10</v>
      </c>
      <c r="C68" s="17" t="s">
        <v>351</v>
      </c>
      <c r="D68" s="17" t="s">
        <v>356</v>
      </c>
      <c r="E68" s="3" t="s">
        <v>72</v>
      </c>
      <c r="F68" s="3" t="s">
        <v>36</v>
      </c>
      <c r="G68" s="7">
        <f>128415.01/1000</f>
        <v>128.41501</v>
      </c>
    </row>
    <row r="69" spans="1:7" ht="25.5" x14ac:dyDescent="0.25">
      <c r="A69" s="4" t="s">
        <v>21</v>
      </c>
      <c r="B69" s="3" t="s">
        <v>10</v>
      </c>
      <c r="C69" s="17" t="s">
        <v>351</v>
      </c>
      <c r="D69" s="17" t="s">
        <v>356</v>
      </c>
      <c r="E69" s="3" t="s">
        <v>22</v>
      </c>
      <c r="F69" s="3" t="s">
        <v>8</v>
      </c>
      <c r="G69" s="7">
        <f>1574597/1000</f>
        <v>1574.597</v>
      </c>
    </row>
    <row r="70" spans="1:7" ht="51" x14ac:dyDescent="0.25">
      <c r="A70" s="4" t="s">
        <v>73</v>
      </c>
      <c r="B70" s="3" t="s">
        <v>10</v>
      </c>
      <c r="C70" s="17" t="s">
        <v>351</v>
      </c>
      <c r="D70" s="17" t="s">
        <v>356</v>
      </c>
      <c r="E70" s="3" t="s">
        <v>74</v>
      </c>
      <c r="F70" s="3" t="s">
        <v>8</v>
      </c>
      <c r="G70" s="7">
        <f>494000/1000</f>
        <v>494</v>
      </c>
    </row>
    <row r="71" spans="1:7" ht="89.25" x14ac:dyDescent="0.25">
      <c r="A71" s="4" t="s">
        <v>19</v>
      </c>
      <c r="B71" s="3" t="s">
        <v>10</v>
      </c>
      <c r="C71" s="17" t="s">
        <v>351</v>
      </c>
      <c r="D71" s="17" t="s">
        <v>356</v>
      </c>
      <c r="E71" s="3" t="s">
        <v>74</v>
      </c>
      <c r="F71" s="3" t="s">
        <v>20</v>
      </c>
      <c r="G71" s="7">
        <f>422900/1000</f>
        <v>422.9</v>
      </c>
    </row>
    <row r="72" spans="1:7" ht="38.25" x14ac:dyDescent="0.25">
      <c r="A72" s="4" t="s">
        <v>31</v>
      </c>
      <c r="B72" s="3" t="s">
        <v>10</v>
      </c>
      <c r="C72" s="17" t="s">
        <v>351</v>
      </c>
      <c r="D72" s="17" t="s">
        <v>356</v>
      </c>
      <c r="E72" s="3" t="s">
        <v>74</v>
      </c>
      <c r="F72" s="3" t="s">
        <v>32</v>
      </c>
      <c r="G72" s="7">
        <f>71100/1000</f>
        <v>71.099999999999994</v>
      </c>
    </row>
    <row r="73" spans="1:7" ht="38.25" x14ac:dyDescent="0.25">
      <c r="A73" s="4" t="s">
        <v>75</v>
      </c>
      <c r="B73" s="3" t="s">
        <v>10</v>
      </c>
      <c r="C73" s="17" t="s">
        <v>351</v>
      </c>
      <c r="D73" s="17" t="s">
        <v>356</v>
      </c>
      <c r="E73" s="3" t="s">
        <v>76</v>
      </c>
      <c r="F73" s="3" t="s">
        <v>8</v>
      </c>
      <c r="G73" s="7">
        <f>2000/1000</f>
        <v>2</v>
      </c>
    </row>
    <row r="74" spans="1:7" ht="38.25" x14ac:dyDescent="0.25">
      <c r="A74" s="4" t="s">
        <v>31</v>
      </c>
      <c r="B74" s="3" t="s">
        <v>10</v>
      </c>
      <c r="C74" s="17" t="s">
        <v>351</v>
      </c>
      <c r="D74" s="17" t="s">
        <v>356</v>
      </c>
      <c r="E74" s="3" t="s">
        <v>76</v>
      </c>
      <c r="F74" s="3" t="s">
        <v>32</v>
      </c>
      <c r="G74" s="7">
        <f>2000/1000</f>
        <v>2</v>
      </c>
    </row>
    <row r="75" spans="1:7" ht="89.25" x14ac:dyDescent="0.25">
      <c r="A75" s="4" t="s">
        <v>77</v>
      </c>
      <c r="B75" s="3" t="s">
        <v>10</v>
      </c>
      <c r="C75" s="17" t="s">
        <v>351</v>
      </c>
      <c r="D75" s="17" t="s">
        <v>356</v>
      </c>
      <c r="E75" s="3" t="s">
        <v>78</v>
      </c>
      <c r="F75" s="3" t="s">
        <v>8</v>
      </c>
      <c r="G75" s="7">
        <f>197/1000</f>
        <v>0.19700000000000001</v>
      </c>
    </row>
    <row r="76" spans="1:7" ht="38.25" x14ac:dyDescent="0.25">
      <c r="A76" s="4" t="s">
        <v>31</v>
      </c>
      <c r="B76" s="3" t="s">
        <v>10</v>
      </c>
      <c r="C76" s="17" t="s">
        <v>351</v>
      </c>
      <c r="D76" s="17" t="s">
        <v>356</v>
      </c>
      <c r="E76" s="3" t="s">
        <v>78</v>
      </c>
      <c r="F76" s="3" t="s">
        <v>32</v>
      </c>
      <c r="G76" s="7">
        <f>197/1000</f>
        <v>0.19700000000000001</v>
      </c>
    </row>
    <row r="77" spans="1:7" ht="76.5" x14ac:dyDescent="0.25">
      <c r="A77" s="4" t="s">
        <v>79</v>
      </c>
      <c r="B77" s="3" t="s">
        <v>10</v>
      </c>
      <c r="C77" s="17" t="s">
        <v>351</v>
      </c>
      <c r="D77" s="17" t="s">
        <v>356</v>
      </c>
      <c r="E77" s="3" t="s">
        <v>80</v>
      </c>
      <c r="F77" s="3" t="s">
        <v>8</v>
      </c>
      <c r="G77" s="7">
        <f>3400/1000</f>
        <v>3.4</v>
      </c>
    </row>
    <row r="78" spans="1:7" ht="38.25" x14ac:dyDescent="0.25">
      <c r="A78" s="4" t="s">
        <v>31</v>
      </c>
      <c r="B78" s="3" t="s">
        <v>10</v>
      </c>
      <c r="C78" s="17" t="s">
        <v>351</v>
      </c>
      <c r="D78" s="17" t="s">
        <v>356</v>
      </c>
      <c r="E78" s="3" t="s">
        <v>80</v>
      </c>
      <c r="F78" s="3" t="s">
        <v>32</v>
      </c>
      <c r="G78" s="7">
        <f>3400/1000</f>
        <v>3.4</v>
      </c>
    </row>
    <row r="79" spans="1:7" ht="165.75" x14ac:dyDescent="0.25">
      <c r="A79" s="4" t="s">
        <v>81</v>
      </c>
      <c r="B79" s="3" t="s">
        <v>10</v>
      </c>
      <c r="C79" s="17" t="s">
        <v>351</v>
      </c>
      <c r="D79" s="17" t="s">
        <v>356</v>
      </c>
      <c r="E79" s="3" t="s">
        <v>82</v>
      </c>
      <c r="F79" s="3" t="s">
        <v>8</v>
      </c>
      <c r="G79" s="7">
        <f>1075000/1000</f>
        <v>1075</v>
      </c>
    </row>
    <row r="80" spans="1:7" ht="89.25" x14ac:dyDescent="0.25">
      <c r="A80" s="4" t="s">
        <v>19</v>
      </c>
      <c r="B80" s="3" t="s">
        <v>10</v>
      </c>
      <c r="C80" s="17" t="s">
        <v>351</v>
      </c>
      <c r="D80" s="17" t="s">
        <v>356</v>
      </c>
      <c r="E80" s="3" t="s">
        <v>82</v>
      </c>
      <c r="F80" s="3" t="s">
        <v>20</v>
      </c>
      <c r="G80" s="7">
        <f>1015435.3/1000</f>
        <v>1015.4353000000001</v>
      </c>
    </row>
    <row r="81" spans="1:7" ht="38.25" x14ac:dyDescent="0.25">
      <c r="A81" s="4" t="s">
        <v>31</v>
      </c>
      <c r="B81" s="3" t="s">
        <v>10</v>
      </c>
      <c r="C81" s="17" t="s">
        <v>351</v>
      </c>
      <c r="D81" s="17" t="s">
        <v>356</v>
      </c>
      <c r="E81" s="3" t="s">
        <v>82</v>
      </c>
      <c r="F81" s="3" t="s">
        <v>32</v>
      </c>
      <c r="G81" s="7">
        <f>59564.7/1000</f>
        <v>59.564699999999995</v>
      </c>
    </row>
    <row r="82" spans="1:7" x14ac:dyDescent="0.25">
      <c r="A82" s="4" t="s">
        <v>83</v>
      </c>
      <c r="B82" s="3" t="s">
        <v>10</v>
      </c>
      <c r="C82" s="17" t="s">
        <v>352</v>
      </c>
      <c r="D82" s="17" t="s">
        <v>353</v>
      </c>
      <c r="E82" s="3" t="s">
        <v>7</v>
      </c>
      <c r="F82" s="3" t="s">
        <v>8</v>
      </c>
      <c r="G82" s="7">
        <f>1269200/1000</f>
        <v>1269.2</v>
      </c>
    </row>
    <row r="83" spans="1:7" ht="25.5" x14ac:dyDescent="0.25">
      <c r="A83" s="4" t="s">
        <v>84</v>
      </c>
      <c r="B83" s="3" t="s">
        <v>10</v>
      </c>
      <c r="C83" s="17" t="s">
        <v>352</v>
      </c>
      <c r="D83" s="17" t="s">
        <v>357</v>
      </c>
      <c r="E83" s="3" t="s">
        <v>7</v>
      </c>
      <c r="F83" s="3" t="s">
        <v>8</v>
      </c>
      <c r="G83" s="7">
        <f>1269200/1000</f>
        <v>1269.2</v>
      </c>
    </row>
    <row r="84" spans="1:7" ht="63.75" x14ac:dyDescent="0.25">
      <c r="A84" s="4" t="s">
        <v>13</v>
      </c>
      <c r="B84" s="3" t="s">
        <v>10</v>
      </c>
      <c r="C84" s="17" t="s">
        <v>352</v>
      </c>
      <c r="D84" s="17" t="s">
        <v>357</v>
      </c>
      <c r="E84" s="3" t="s">
        <v>14</v>
      </c>
      <c r="F84" s="3" t="s">
        <v>8</v>
      </c>
      <c r="G84" s="7">
        <f>1269200/1000</f>
        <v>1269.2</v>
      </c>
    </row>
    <row r="85" spans="1:7" ht="25.5" x14ac:dyDescent="0.25">
      <c r="A85" s="4" t="s">
        <v>21</v>
      </c>
      <c r="B85" s="3" t="s">
        <v>10</v>
      </c>
      <c r="C85" s="17" t="s">
        <v>352</v>
      </c>
      <c r="D85" s="17" t="s">
        <v>357</v>
      </c>
      <c r="E85" s="3" t="s">
        <v>22</v>
      </c>
      <c r="F85" s="3" t="s">
        <v>8</v>
      </c>
      <c r="G85" s="7">
        <f>1269200/1000</f>
        <v>1269.2</v>
      </c>
    </row>
    <row r="86" spans="1:7" ht="51" x14ac:dyDescent="0.25">
      <c r="A86" s="4" t="s">
        <v>85</v>
      </c>
      <c r="B86" s="3" t="s">
        <v>10</v>
      </c>
      <c r="C86" s="17" t="s">
        <v>352</v>
      </c>
      <c r="D86" s="17" t="s">
        <v>357</v>
      </c>
      <c r="E86" s="3" t="s">
        <v>86</v>
      </c>
      <c r="F86" s="3" t="s">
        <v>8</v>
      </c>
      <c r="G86" s="7">
        <f>1269200/1000</f>
        <v>1269.2</v>
      </c>
    </row>
    <row r="87" spans="1:7" ht="89.25" x14ac:dyDescent="0.25">
      <c r="A87" s="4" t="s">
        <v>19</v>
      </c>
      <c r="B87" s="3" t="s">
        <v>10</v>
      </c>
      <c r="C87" s="17" t="s">
        <v>352</v>
      </c>
      <c r="D87" s="17" t="s">
        <v>357</v>
      </c>
      <c r="E87" s="3" t="s">
        <v>86</v>
      </c>
      <c r="F87" s="3" t="s">
        <v>20</v>
      </c>
      <c r="G87" s="7">
        <f>1222711.34/1000</f>
        <v>1222.7113400000001</v>
      </c>
    </row>
    <row r="88" spans="1:7" ht="38.25" x14ac:dyDescent="0.25">
      <c r="A88" s="4" t="s">
        <v>31</v>
      </c>
      <c r="B88" s="3" t="s">
        <v>10</v>
      </c>
      <c r="C88" s="17" t="s">
        <v>352</v>
      </c>
      <c r="D88" s="17" t="s">
        <v>357</v>
      </c>
      <c r="E88" s="3" t="s">
        <v>86</v>
      </c>
      <c r="F88" s="3" t="s">
        <v>32</v>
      </c>
      <c r="G88" s="7">
        <f>46488.66/1000</f>
        <v>46.488660000000003</v>
      </c>
    </row>
    <row r="89" spans="1:7" ht="38.25" x14ac:dyDescent="0.25">
      <c r="A89" s="4" t="s">
        <v>87</v>
      </c>
      <c r="B89" s="3" t="s">
        <v>10</v>
      </c>
      <c r="C89" s="17" t="s">
        <v>357</v>
      </c>
      <c r="D89" s="17" t="s">
        <v>353</v>
      </c>
      <c r="E89" s="3" t="s">
        <v>7</v>
      </c>
      <c r="F89" s="3" t="s">
        <v>8</v>
      </c>
      <c r="G89" s="7">
        <f>209520108.42/1000</f>
        <v>209520.10841999998</v>
      </c>
    </row>
    <row r="90" spans="1:7" ht="51" x14ac:dyDescent="0.25">
      <c r="A90" s="4" t="s">
        <v>88</v>
      </c>
      <c r="B90" s="3" t="s">
        <v>10</v>
      </c>
      <c r="C90" s="17" t="s">
        <v>357</v>
      </c>
      <c r="D90" s="17" t="s">
        <v>358</v>
      </c>
      <c r="E90" s="3" t="s">
        <v>7</v>
      </c>
      <c r="F90" s="3" t="s">
        <v>8</v>
      </c>
      <c r="G90" s="7">
        <f>209324608.42/1000</f>
        <v>209324.60841999998</v>
      </c>
    </row>
    <row r="91" spans="1:7" ht="114.75" x14ac:dyDescent="0.25">
      <c r="A91" s="4" t="s">
        <v>41</v>
      </c>
      <c r="B91" s="3" t="s">
        <v>10</v>
      </c>
      <c r="C91" s="17" t="s">
        <v>357</v>
      </c>
      <c r="D91" s="17" t="s">
        <v>358</v>
      </c>
      <c r="E91" s="3" t="s">
        <v>42</v>
      </c>
      <c r="F91" s="3" t="s">
        <v>8</v>
      </c>
      <c r="G91" s="7">
        <f>4433771.33/1000</f>
        <v>4433.7713300000005</v>
      </c>
    </row>
    <row r="92" spans="1:7" ht="25.5" x14ac:dyDescent="0.25">
      <c r="A92" s="4" t="s">
        <v>45</v>
      </c>
      <c r="B92" s="3" t="s">
        <v>10</v>
      </c>
      <c r="C92" s="17" t="s">
        <v>357</v>
      </c>
      <c r="D92" s="17" t="s">
        <v>358</v>
      </c>
      <c r="E92" s="3" t="s">
        <v>89</v>
      </c>
      <c r="F92" s="3" t="s">
        <v>8</v>
      </c>
      <c r="G92" s="7">
        <f>19000/1000</f>
        <v>19</v>
      </c>
    </row>
    <row r="93" spans="1:7" ht="38.25" x14ac:dyDescent="0.25">
      <c r="A93" s="4" t="s">
        <v>31</v>
      </c>
      <c r="B93" s="3" t="s">
        <v>10</v>
      </c>
      <c r="C93" s="17" t="s">
        <v>357</v>
      </c>
      <c r="D93" s="17" t="s">
        <v>358</v>
      </c>
      <c r="E93" s="3" t="s">
        <v>89</v>
      </c>
      <c r="F93" s="3" t="s">
        <v>32</v>
      </c>
      <c r="G93" s="7">
        <f>19000/1000</f>
        <v>19</v>
      </c>
    </row>
    <row r="94" spans="1:7" ht="51" x14ac:dyDescent="0.25">
      <c r="A94" s="4" t="s">
        <v>91</v>
      </c>
      <c r="B94" s="3" t="s">
        <v>10</v>
      </c>
      <c r="C94" s="17" t="s">
        <v>357</v>
      </c>
      <c r="D94" s="17" t="s">
        <v>358</v>
      </c>
      <c r="E94" s="3" t="s">
        <v>92</v>
      </c>
      <c r="F94" s="3" t="s">
        <v>8</v>
      </c>
      <c r="G94" s="7">
        <f>220000/1000</f>
        <v>220</v>
      </c>
    </row>
    <row r="95" spans="1:7" ht="38.25" x14ac:dyDescent="0.25">
      <c r="A95" s="4" t="s">
        <v>31</v>
      </c>
      <c r="B95" s="3" t="s">
        <v>10</v>
      </c>
      <c r="C95" s="17" t="s">
        <v>357</v>
      </c>
      <c r="D95" s="17" t="s">
        <v>358</v>
      </c>
      <c r="E95" s="3" t="s">
        <v>92</v>
      </c>
      <c r="F95" s="3" t="s">
        <v>32</v>
      </c>
      <c r="G95" s="7">
        <f>220000/1000</f>
        <v>220</v>
      </c>
    </row>
    <row r="96" spans="1:7" ht="25.5" x14ac:dyDescent="0.25">
      <c r="A96" s="4" t="s">
        <v>45</v>
      </c>
      <c r="B96" s="3" t="s">
        <v>10</v>
      </c>
      <c r="C96" s="17" t="s">
        <v>357</v>
      </c>
      <c r="D96" s="17" t="s">
        <v>358</v>
      </c>
      <c r="E96" s="3" t="s">
        <v>93</v>
      </c>
      <c r="F96" s="3" t="s">
        <v>8</v>
      </c>
      <c r="G96" s="7">
        <f>1539139.52/1000</f>
        <v>1539.1395199999999</v>
      </c>
    </row>
    <row r="97" spans="1:7" ht="38.25" x14ac:dyDescent="0.25">
      <c r="A97" s="4" t="s">
        <v>31</v>
      </c>
      <c r="B97" s="3" t="s">
        <v>10</v>
      </c>
      <c r="C97" s="17" t="s">
        <v>357</v>
      </c>
      <c r="D97" s="17" t="s">
        <v>358</v>
      </c>
      <c r="E97" s="3" t="s">
        <v>93</v>
      </c>
      <c r="F97" s="3" t="s">
        <v>32</v>
      </c>
      <c r="G97" s="7">
        <f>1539139.52/1000</f>
        <v>1539.1395199999999</v>
      </c>
    </row>
    <row r="98" spans="1:7" ht="25.5" x14ac:dyDescent="0.25">
      <c r="A98" s="4" t="s">
        <v>45</v>
      </c>
      <c r="B98" s="3" t="s">
        <v>10</v>
      </c>
      <c r="C98" s="17" t="s">
        <v>357</v>
      </c>
      <c r="D98" s="17" t="s">
        <v>358</v>
      </c>
      <c r="E98" s="3" t="s">
        <v>94</v>
      </c>
      <c r="F98" s="3" t="s">
        <v>8</v>
      </c>
      <c r="G98" s="7">
        <f>2655631.81/1000</f>
        <v>2655.6318099999999</v>
      </c>
    </row>
    <row r="99" spans="1:7" ht="89.25" x14ac:dyDescent="0.25">
      <c r="A99" s="4" t="s">
        <v>19</v>
      </c>
      <c r="B99" s="3" t="s">
        <v>10</v>
      </c>
      <c r="C99" s="17" t="s">
        <v>357</v>
      </c>
      <c r="D99" s="17" t="s">
        <v>358</v>
      </c>
      <c r="E99" s="3" t="s">
        <v>94</v>
      </c>
      <c r="F99" s="3" t="s">
        <v>20</v>
      </c>
      <c r="G99" s="7">
        <f>2432881.81/1000</f>
        <v>2432.8818099999999</v>
      </c>
    </row>
    <row r="100" spans="1:7" ht="38.25" x14ac:dyDescent="0.25">
      <c r="A100" s="4" t="s">
        <v>31</v>
      </c>
      <c r="B100" s="3" t="s">
        <v>10</v>
      </c>
      <c r="C100" s="17" t="s">
        <v>357</v>
      </c>
      <c r="D100" s="17" t="s">
        <v>358</v>
      </c>
      <c r="E100" s="3" t="s">
        <v>94</v>
      </c>
      <c r="F100" s="3" t="s">
        <v>32</v>
      </c>
      <c r="G100" s="7">
        <f>222750/1000</f>
        <v>222.75</v>
      </c>
    </row>
    <row r="101" spans="1:7" ht="63.75" x14ac:dyDescent="0.25">
      <c r="A101" s="4" t="s">
        <v>13</v>
      </c>
      <c r="B101" s="3" t="s">
        <v>10</v>
      </c>
      <c r="C101" s="17" t="s">
        <v>357</v>
      </c>
      <c r="D101" s="17" t="s">
        <v>358</v>
      </c>
      <c r="E101" s="3" t="s">
        <v>14</v>
      </c>
      <c r="F101" s="3" t="s">
        <v>8</v>
      </c>
      <c r="G101" s="7">
        <f>204890837.09/1000</f>
        <v>204890.83709000002</v>
      </c>
    </row>
    <row r="102" spans="1:7" ht="25.5" x14ac:dyDescent="0.25">
      <c r="A102" s="4" t="s">
        <v>21</v>
      </c>
      <c r="B102" s="3" t="s">
        <v>10</v>
      </c>
      <c r="C102" s="17" t="s">
        <v>357</v>
      </c>
      <c r="D102" s="17" t="s">
        <v>358</v>
      </c>
      <c r="E102" s="3" t="s">
        <v>22</v>
      </c>
      <c r="F102" s="3" t="s">
        <v>8</v>
      </c>
      <c r="G102" s="7">
        <f>204890837.09/1000</f>
        <v>204890.83709000002</v>
      </c>
    </row>
    <row r="103" spans="1:7" ht="127.5" x14ac:dyDescent="0.25">
      <c r="A103" s="4" t="s">
        <v>95</v>
      </c>
      <c r="B103" s="3" t="s">
        <v>10</v>
      </c>
      <c r="C103" s="17" t="s">
        <v>357</v>
      </c>
      <c r="D103" s="17" t="s">
        <v>358</v>
      </c>
      <c r="E103" s="3" t="s">
        <v>96</v>
      </c>
      <c r="F103" s="3" t="s">
        <v>8</v>
      </c>
      <c r="G103" s="7">
        <f>204690837.09/1000</f>
        <v>204690.83709000002</v>
      </c>
    </row>
    <row r="104" spans="1:7" ht="38.25" x14ac:dyDescent="0.25">
      <c r="A104" s="4" t="s">
        <v>31</v>
      </c>
      <c r="B104" s="3" t="s">
        <v>10</v>
      </c>
      <c r="C104" s="17" t="s">
        <v>357</v>
      </c>
      <c r="D104" s="17" t="s">
        <v>358</v>
      </c>
      <c r="E104" s="3" t="s">
        <v>96</v>
      </c>
      <c r="F104" s="3" t="s">
        <v>32</v>
      </c>
      <c r="G104" s="7">
        <f>204690837.09/1000</f>
        <v>204690.83709000002</v>
      </c>
    </row>
    <row r="105" spans="1:7" ht="25.5" x14ac:dyDescent="0.25">
      <c r="A105" s="4" t="s">
        <v>45</v>
      </c>
      <c r="B105" s="3" t="s">
        <v>10</v>
      </c>
      <c r="C105" s="17" t="s">
        <v>357</v>
      </c>
      <c r="D105" s="17" t="s">
        <v>358</v>
      </c>
      <c r="E105" s="3" t="s">
        <v>97</v>
      </c>
      <c r="F105" s="3" t="s">
        <v>8</v>
      </c>
      <c r="G105" s="7">
        <f>200000/1000</f>
        <v>200</v>
      </c>
    </row>
    <row r="106" spans="1:7" ht="25.5" x14ac:dyDescent="0.25">
      <c r="A106" s="4" t="s">
        <v>35</v>
      </c>
      <c r="B106" s="3" t="s">
        <v>10</v>
      </c>
      <c r="C106" s="17" t="s">
        <v>357</v>
      </c>
      <c r="D106" s="17" t="s">
        <v>358</v>
      </c>
      <c r="E106" s="3" t="s">
        <v>97</v>
      </c>
      <c r="F106" s="3" t="s">
        <v>36</v>
      </c>
      <c r="G106" s="7">
        <f>200000/1000</f>
        <v>200</v>
      </c>
    </row>
    <row r="107" spans="1:7" ht="38.25" x14ac:dyDescent="0.25">
      <c r="A107" s="4" t="s">
        <v>98</v>
      </c>
      <c r="B107" s="3" t="s">
        <v>10</v>
      </c>
      <c r="C107" s="17" t="s">
        <v>357</v>
      </c>
      <c r="D107" s="17" t="s">
        <v>359</v>
      </c>
      <c r="E107" s="3" t="s">
        <v>7</v>
      </c>
      <c r="F107" s="3" t="s">
        <v>8</v>
      </c>
      <c r="G107" s="7">
        <f>195500/1000</f>
        <v>195.5</v>
      </c>
    </row>
    <row r="108" spans="1:7" ht="114.75" x14ac:dyDescent="0.25">
      <c r="A108" s="4" t="s">
        <v>41</v>
      </c>
      <c r="B108" s="3" t="s">
        <v>10</v>
      </c>
      <c r="C108" s="17" t="s">
        <v>357</v>
      </c>
      <c r="D108" s="17" t="s">
        <v>359</v>
      </c>
      <c r="E108" s="3" t="s">
        <v>42</v>
      </c>
      <c r="F108" s="3" t="s">
        <v>8</v>
      </c>
      <c r="G108" s="7">
        <f>195500/1000</f>
        <v>195.5</v>
      </c>
    </row>
    <row r="109" spans="1:7" ht="89.25" x14ac:dyDescent="0.25">
      <c r="A109" s="4" t="s">
        <v>99</v>
      </c>
      <c r="B109" s="3" t="s">
        <v>10</v>
      </c>
      <c r="C109" s="17" t="s">
        <v>357</v>
      </c>
      <c r="D109" s="17" t="s">
        <v>359</v>
      </c>
      <c r="E109" s="3" t="s">
        <v>100</v>
      </c>
      <c r="F109" s="3" t="s">
        <v>8</v>
      </c>
      <c r="G109" s="7">
        <f>195500/1000</f>
        <v>195.5</v>
      </c>
    </row>
    <row r="110" spans="1:7" ht="25.5" x14ac:dyDescent="0.25">
      <c r="A110" s="4" t="s">
        <v>45</v>
      </c>
      <c r="B110" s="3" t="s">
        <v>10</v>
      </c>
      <c r="C110" s="17" t="s">
        <v>357</v>
      </c>
      <c r="D110" s="17" t="s">
        <v>359</v>
      </c>
      <c r="E110" s="3" t="s">
        <v>101</v>
      </c>
      <c r="F110" s="3" t="s">
        <v>8</v>
      </c>
      <c r="G110" s="7">
        <f>195500/1000</f>
        <v>195.5</v>
      </c>
    </row>
    <row r="111" spans="1:7" ht="25.5" x14ac:dyDescent="0.25">
      <c r="A111" s="4" t="s">
        <v>102</v>
      </c>
      <c r="B111" s="3" t="s">
        <v>10</v>
      </c>
      <c r="C111" s="17" t="s">
        <v>357</v>
      </c>
      <c r="D111" s="17" t="s">
        <v>359</v>
      </c>
      <c r="E111" s="3" t="s">
        <v>101</v>
      </c>
      <c r="F111" s="3" t="s">
        <v>103</v>
      </c>
      <c r="G111" s="7">
        <f>195500/1000</f>
        <v>195.5</v>
      </c>
    </row>
    <row r="112" spans="1:7" x14ac:dyDescent="0.25">
      <c r="A112" s="4" t="s">
        <v>104</v>
      </c>
      <c r="B112" s="3" t="s">
        <v>10</v>
      </c>
      <c r="C112" s="17" t="s">
        <v>354</v>
      </c>
      <c r="D112" s="17" t="s">
        <v>353</v>
      </c>
      <c r="E112" s="3" t="s">
        <v>7</v>
      </c>
      <c r="F112" s="3" t="s">
        <v>8</v>
      </c>
      <c r="G112" s="7">
        <f>18118564.05/1000</f>
        <v>18118.564050000001</v>
      </c>
    </row>
    <row r="113" spans="1:7" x14ac:dyDescent="0.25">
      <c r="A113" s="4" t="s">
        <v>111</v>
      </c>
      <c r="B113" s="3" t="s">
        <v>10</v>
      </c>
      <c r="C113" s="17" t="s">
        <v>354</v>
      </c>
      <c r="D113" s="17" t="s">
        <v>355</v>
      </c>
      <c r="E113" s="3" t="s">
        <v>7</v>
      </c>
      <c r="F113" s="3" t="s">
        <v>8</v>
      </c>
      <c r="G113" s="7">
        <f>521451/1000</f>
        <v>521.45100000000002</v>
      </c>
    </row>
    <row r="114" spans="1:7" ht="63.75" x14ac:dyDescent="0.25">
      <c r="A114" s="4" t="s">
        <v>47</v>
      </c>
      <c r="B114" s="3" t="s">
        <v>10</v>
      </c>
      <c r="C114" s="17" t="s">
        <v>354</v>
      </c>
      <c r="D114" s="17" t="s">
        <v>355</v>
      </c>
      <c r="E114" s="3" t="s">
        <v>48</v>
      </c>
      <c r="F114" s="3" t="s">
        <v>8</v>
      </c>
      <c r="G114" s="7">
        <f>311451/1000</f>
        <v>311.45100000000002</v>
      </c>
    </row>
    <row r="115" spans="1:7" ht="63.75" x14ac:dyDescent="0.25">
      <c r="A115" s="4" t="s">
        <v>112</v>
      </c>
      <c r="B115" s="3" t="s">
        <v>10</v>
      </c>
      <c r="C115" s="17" t="s">
        <v>354</v>
      </c>
      <c r="D115" s="17" t="s">
        <v>355</v>
      </c>
      <c r="E115" s="3" t="s">
        <v>113</v>
      </c>
      <c r="F115" s="3" t="s">
        <v>8</v>
      </c>
      <c r="G115" s="7">
        <f>20000/1000</f>
        <v>20</v>
      </c>
    </row>
    <row r="116" spans="1:7" ht="25.5" x14ac:dyDescent="0.25">
      <c r="A116" s="4" t="s">
        <v>51</v>
      </c>
      <c r="B116" s="3" t="s">
        <v>10</v>
      </c>
      <c r="C116" s="17" t="s">
        <v>354</v>
      </c>
      <c r="D116" s="17" t="s">
        <v>355</v>
      </c>
      <c r="E116" s="3" t="s">
        <v>114</v>
      </c>
      <c r="F116" s="3" t="s">
        <v>8</v>
      </c>
      <c r="G116" s="7">
        <f>20000/1000</f>
        <v>20</v>
      </c>
    </row>
    <row r="117" spans="1:7" ht="38.25" x14ac:dyDescent="0.25">
      <c r="A117" s="4" t="s">
        <v>31</v>
      </c>
      <c r="B117" s="3" t="s">
        <v>10</v>
      </c>
      <c r="C117" s="17" t="s">
        <v>354</v>
      </c>
      <c r="D117" s="17" t="s">
        <v>355</v>
      </c>
      <c r="E117" s="3" t="s">
        <v>114</v>
      </c>
      <c r="F117" s="3" t="s">
        <v>32</v>
      </c>
      <c r="G117" s="7">
        <f>20000/1000</f>
        <v>20</v>
      </c>
    </row>
    <row r="118" spans="1:7" ht="76.5" x14ac:dyDescent="0.25">
      <c r="A118" s="4" t="s">
        <v>49</v>
      </c>
      <c r="B118" s="3" t="s">
        <v>10</v>
      </c>
      <c r="C118" s="17" t="s">
        <v>354</v>
      </c>
      <c r="D118" s="17" t="s">
        <v>355</v>
      </c>
      <c r="E118" s="3" t="s">
        <v>50</v>
      </c>
      <c r="F118" s="3" t="s">
        <v>8</v>
      </c>
      <c r="G118" s="7">
        <f>291451/1000</f>
        <v>291.45100000000002</v>
      </c>
    </row>
    <row r="119" spans="1:7" ht="38.25" x14ac:dyDescent="0.25">
      <c r="A119" s="4" t="s">
        <v>54</v>
      </c>
      <c r="B119" s="3" t="s">
        <v>10</v>
      </c>
      <c r="C119" s="17" t="s">
        <v>354</v>
      </c>
      <c r="D119" s="17" t="s">
        <v>355</v>
      </c>
      <c r="E119" s="3" t="s">
        <v>55</v>
      </c>
      <c r="F119" s="3" t="s">
        <v>8</v>
      </c>
      <c r="G119" s="7">
        <f>291451/1000</f>
        <v>291.45100000000002</v>
      </c>
    </row>
    <row r="120" spans="1:7" ht="38.25" x14ac:dyDescent="0.25">
      <c r="A120" s="4" t="s">
        <v>31</v>
      </c>
      <c r="B120" s="3" t="s">
        <v>10</v>
      </c>
      <c r="C120" s="17" t="s">
        <v>354</v>
      </c>
      <c r="D120" s="17" t="s">
        <v>355</v>
      </c>
      <c r="E120" s="3" t="s">
        <v>55</v>
      </c>
      <c r="F120" s="3" t="s">
        <v>32</v>
      </c>
      <c r="G120" s="7">
        <f>291451/1000</f>
        <v>291.45100000000002</v>
      </c>
    </row>
    <row r="121" spans="1:7" ht="63.75" x14ac:dyDescent="0.25">
      <c r="A121" s="4" t="s">
        <v>13</v>
      </c>
      <c r="B121" s="3" t="s">
        <v>10</v>
      </c>
      <c r="C121" s="17" t="s">
        <v>354</v>
      </c>
      <c r="D121" s="17" t="s">
        <v>355</v>
      </c>
      <c r="E121" s="3" t="s">
        <v>14</v>
      </c>
      <c r="F121" s="3" t="s">
        <v>8</v>
      </c>
      <c r="G121" s="7">
        <f>210000/1000</f>
        <v>210</v>
      </c>
    </row>
    <row r="122" spans="1:7" ht="25.5" x14ac:dyDescent="0.25">
      <c r="A122" s="4" t="s">
        <v>21</v>
      </c>
      <c r="B122" s="3" t="s">
        <v>10</v>
      </c>
      <c r="C122" s="17" t="s">
        <v>354</v>
      </c>
      <c r="D122" s="17" t="s">
        <v>355</v>
      </c>
      <c r="E122" s="3" t="s">
        <v>22</v>
      </c>
      <c r="F122" s="3" t="s">
        <v>8</v>
      </c>
      <c r="G122" s="7">
        <f>210000/1000</f>
        <v>210</v>
      </c>
    </row>
    <row r="123" spans="1:7" ht="63.75" x14ac:dyDescent="0.25">
      <c r="A123" s="4" t="s">
        <v>115</v>
      </c>
      <c r="B123" s="3" t="s">
        <v>10</v>
      </c>
      <c r="C123" s="17" t="s">
        <v>354</v>
      </c>
      <c r="D123" s="17" t="s">
        <v>355</v>
      </c>
      <c r="E123" s="3" t="s">
        <v>116</v>
      </c>
      <c r="F123" s="3" t="s">
        <v>8</v>
      </c>
      <c r="G123" s="7">
        <f>210000/1000</f>
        <v>210</v>
      </c>
    </row>
    <row r="124" spans="1:7" ht="38.25" x14ac:dyDescent="0.25">
      <c r="A124" s="4" t="s">
        <v>31</v>
      </c>
      <c r="B124" s="3" t="s">
        <v>10</v>
      </c>
      <c r="C124" s="17" t="s">
        <v>354</v>
      </c>
      <c r="D124" s="17" t="s">
        <v>355</v>
      </c>
      <c r="E124" s="3" t="s">
        <v>116</v>
      </c>
      <c r="F124" s="3" t="s">
        <v>32</v>
      </c>
      <c r="G124" s="7">
        <f>210000/1000</f>
        <v>210</v>
      </c>
    </row>
    <row r="125" spans="1:7" ht="25.5" x14ac:dyDescent="0.25">
      <c r="A125" s="4" t="s">
        <v>117</v>
      </c>
      <c r="B125" s="3" t="s">
        <v>10</v>
      </c>
      <c r="C125" s="17" t="s">
        <v>354</v>
      </c>
      <c r="D125" s="17" t="s">
        <v>360</v>
      </c>
      <c r="E125" s="3" t="s">
        <v>7</v>
      </c>
      <c r="F125" s="3" t="s">
        <v>8</v>
      </c>
      <c r="G125" s="7">
        <f>17447113.05/1000</f>
        <v>17447.11305</v>
      </c>
    </row>
    <row r="126" spans="1:7" ht="63.75" x14ac:dyDescent="0.25">
      <c r="A126" s="4" t="s">
        <v>13</v>
      </c>
      <c r="B126" s="3" t="s">
        <v>10</v>
      </c>
      <c r="C126" s="17" t="s">
        <v>354</v>
      </c>
      <c r="D126" s="17" t="s">
        <v>360</v>
      </c>
      <c r="E126" s="3" t="s">
        <v>14</v>
      </c>
      <c r="F126" s="3" t="s">
        <v>8</v>
      </c>
      <c r="G126" s="7">
        <f>17447113.05/1000</f>
        <v>17447.11305</v>
      </c>
    </row>
    <row r="127" spans="1:7" ht="25.5" x14ac:dyDescent="0.25">
      <c r="A127" s="4" t="s">
        <v>118</v>
      </c>
      <c r="B127" s="3" t="s">
        <v>10</v>
      </c>
      <c r="C127" s="17" t="s">
        <v>354</v>
      </c>
      <c r="D127" s="17" t="s">
        <v>360</v>
      </c>
      <c r="E127" s="3" t="s">
        <v>119</v>
      </c>
      <c r="F127" s="3" t="s">
        <v>8</v>
      </c>
      <c r="G127" s="7">
        <f>7009391.55/1000</f>
        <v>7009.3915499999994</v>
      </c>
    </row>
    <row r="128" spans="1:7" ht="38.25" x14ac:dyDescent="0.25">
      <c r="A128" s="4" t="s">
        <v>31</v>
      </c>
      <c r="B128" s="3" t="s">
        <v>10</v>
      </c>
      <c r="C128" s="17" t="s">
        <v>354</v>
      </c>
      <c r="D128" s="17" t="s">
        <v>360</v>
      </c>
      <c r="E128" s="3" t="s">
        <v>119</v>
      </c>
      <c r="F128" s="3" t="s">
        <v>32</v>
      </c>
      <c r="G128" s="7">
        <f>7009391.55/1000</f>
        <v>7009.3915499999994</v>
      </c>
    </row>
    <row r="129" spans="1:7" ht="25.5" x14ac:dyDescent="0.25">
      <c r="A129" s="4" t="s">
        <v>21</v>
      </c>
      <c r="B129" s="3" t="s">
        <v>10</v>
      </c>
      <c r="C129" s="17" t="s">
        <v>354</v>
      </c>
      <c r="D129" s="17" t="s">
        <v>360</v>
      </c>
      <c r="E129" s="3" t="s">
        <v>22</v>
      </c>
      <c r="F129" s="3" t="s">
        <v>8</v>
      </c>
      <c r="G129" s="7">
        <f>10437721.5/1000</f>
        <v>10437.7215</v>
      </c>
    </row>
    <row r="130" spans="1:7" ht="102" x14ac:dyDescent="0.25">
      <c r="A130" s="4" t="s">
        <v>120</v>
      </c>
      <c r="B130" s="3" t="s">
        <v>10</v>
      </c>
      <c r="C130" s="17" t="s">
        <v>354</v>
      </c>
      <c r="D130" s="17" t="s">
        <v>360</v>
      </c>
      <c r="E130" s="3" t="s">
        <v>121</v>
      </c>
      <c r="F130" s="3" t="s">
        <v>8</v>
      </c>
      <c r="G130" s="7">
        <f>9390456.37/1000</f>
        <v>9390.4563699999999</v>
      </c>
    </row>
    <row r="131" spans="1:7" ht="38.25" x14ac:dyDescent="0.25">
      <c r="A131" s="4" t="s">
        <v>31</v>
      </c>
      <c r="B131" s="3" t="s">
        <v>10</v>
      </c>
      <c r="C131" s="17" t="s">
        <v>354</v>
      </c>
      <c r="D131" s="17" t="s">
        <v>360</v>
      </c>
      <c r="E131" s="3" t="s">
        <v>121</v>
      </c>
      <c r="F131" s="3" t="s">
        <v>32</v>
      </c>
      <c r="G131" s="7">
        <f>9390456.37/1000</f>
        <v>9390.4563699999999</v>
      </c>
    </row>
    <row r="132" spans="1:7" ht="102" x14ac:dyDescent="0.25">
      <c r="A132" s="4" t="s">
        <v>120</v>
      </c>
      <c r="B132" s="3" t="s">
        <v>10</v>
      </c>
      <c r="C132" s="17" t="s">
        <v>354</v>
      </c>
      <c r="D132" s="17" t="s">
        <v>360</v>
      </c>
      <c r="E132" s="3" t="s">
        <v>122</v>
      </c>
      <c r="F132" s="3" t="s">
        <v>8</v>
      </c>
      <c r="G132" s="7">
        <f>1047265.13/1000</f>
        <v>1047.26513</v>
      </c>
    </row>
    <row r="133" spans="1:7" ht="38.25" x14ac:dyDescent="0.25">
      <c r="A133" s="4" t="s">
        <v>31</v>
      </c>
      <c r="B133" s="3" t="s">
        <v>10</v>
      </c>
      <c r="C133" s="17" t="s">
        <v>354</v>
      </c>
      <c r="D133" s="17" t="s">
        <v>360</v>
      </c>
      <c r="E133" s="3" t="s">
        <v>122</v>
      </c>
      <c r="F133" s="3" t="s">
        <v>32</v>
      </c>
      <c r="G133" s="7">
        <f>1047265.13/1000</f>
        <v>1047.26513</v>
      </c>
    </row>
    <row r="134" spans="1:7" ht="25.5" x14ac:dyDescent="0.25">
      <c r="A134" s="4" t="s">
        <v>123</v>
      </c>
      <c r="B134" s="3" t="s">
        <v>10</v>
      </c>
      <c r="C134" s="17" t="s">
        <v>354</v>
      </c>
      <c r="D134" s="17" t="s">
        <v>361</v>
      </c>
      <c r="E134" s="3" t="s">
        <v>7</v>
      </c>
      <c r="F134" s="3" t="s">
        <v>8</v>
      </c>
      <c r="G134" s="7">
        <f>150000/1000</f>
        <v>150</v>
      </c>
    </row>
    <row r="135" spans="1:7" ht="63.75" x14ac:dyDescent="0.25">
      <c r="A135" s="4" t="s">
        <v>124</v>
      </c>
      <c r="B135" s="3" t="s">
        <v>10</v>
      </c>
      <c r="C135" s="17" t="s">
        <v>354</v>
      </c>
      <c r="D135" s="17" t="s">
        <v>361</v>
      </c>
      <c r="E135" s="3" t="s">
        <v>125</v>
      </c>
      <c r="F135" s="3" t="s">
        <v>8</v>
      </c>
      <c r="G135" s="7">
        <f>27000/1000</f>
        <v>27</v>
      </c>
    </row>
    <row r="136" spans="1:7" ht="25.5" x14ac:dyDescent="0.25">
      <c r="A136" s="4" t="s">
        <v>51</v>
      </c>
      <c r="B136" s="3" t="s">
        <v>10</v>
      </c>
      <c r="C136" s="17" t="s">
        <v>354</v>
      </c>
      <c r="D136" s="17" t="s">
        <v>361</v>
      </c>
      <c r="E136" s="3" t="s">
        <v>126</v>
      </c>
      <c r="F136" s="3" t="s">
        <v>8</v>
      </c>
      <c r="G136" s="7">
        <f>22000/1000</f>
        <v>22</v>
      </c>
    </row>
    <row r="137" spans="1:7" ht="38.25" x14ac:dyDescent="0.25">
      <c r="A137" s="4" t="s">
        <v>31</v>
      </c>
      <c r="B137" s="3" t="s">
        <v>10</v>
      </c>
      <c r="C137" s="17" t="s">
        <v>354</v>
      </c>
      <c r="D137" s="17" t="s">
        <v>361</v>
      </c>
      <c r="E137" s="3" t="s">
        <v>126</v>
      </c>
      <c r="F137" s="3" t="s">
        <v>32</v>
      </c>
      <c r="G137" s="7">
        <f>22000/1000</f>
        <v>22</v>
      </c>
    </row>
    <row r="138" spans="1:7" ht="25.5" x14ac:dyDescent="0.25">
      <c r="A138" s="4" t="s">
        <v>51</v>
      </c>
      <c r="B138" s="3" t="s">
        <v>10</v>
      </c>
      <c r="C138" s="17" t="s">
        <v>354</v>
      </c>
      <c r="D138" s="17" t="s">
        <v>361</v>
      </c>
      <c r="E138" s="3" t="s">
        <v>127</v>
      </c>
      <c r="F138" s="3" t="s">
        <v>8</v>
      </c>
      <c r="G138" s="7">
        <f>5000/1000</f>
        <v>5</v>
      </c>
    </row>
    <row r="139" spans="1:7" ht="38.25" x14ac:dyDescent="0.25">
      <c r="A139" s="4" t="s">
        <v>31</v>
      </c>
      <c r="B139" s="3" t="s">
        <v>10</v>
      </c>
      <c r="C139" s="17" t="s">
        <v>354</v>
      </c>
      <c r="D139" s="17" t="s">
        <v>361</v>
      </c>
      <c r="E139" s="3" t="s">
        <v>127</v>
      </c>
      <c r="F139" s="3" t="s">
        <v>32</v>
      </c>
      <c r="G139" s="7">
        <f>5000/1000</f>
        <v>5</v>
      </c>
    </row>
    <row r="140" spans="1:7" ht="114.75" x14ac:dyDescent="0.25">
      <c r="A140" s="4" t="s">
        <v>41</v>
      </c>
      <c r="B140" s="3" t="s">
        <v>10</v>
      </c>
      <c r="C140" s="17" t="s">
        <v>354</v>
      </c>
      <c r="D140" s="17" t="s">
        <v>361</v>
      </c>
      <c r="E140" s="3" t="s">
        <v>42</v>
      </c>
      <c r="F140" s="3" t="s">
        <v>8</v>
      </c>
      <c r="G140" s="7">
        <f>123000/1000</f>
        <v>123</v>
      </c>
    </row>
    <row r="141" spans="1:7" ht="89.25" x14ac:dyDescent="0.25">
      <c r="A141" s="4" t="s">
        <v>99</v>
      </c>
      <c r="B141" s="3" t="s">
        <v>10</v>
      </c>
      <c r="C141" s="17" t="s">
        <v>354</v>
      </c>
      <c r="D141" s="17" t="s">
        <v>361</v>
      </c>
      <c r="E141" s="3" t="s">
        <v>100</v>
      </c>
      <c r="F141" s="3" t="s">
        <v>8</v>
      </c>
      <c r="G141" s="7">
        <f>123000/1000</f>
        <v>123</v>
      </c>
    </row>
    <row r="142" spans="1:7" ht="25.5" x14ac:dyDescent="0.25">
      <c r="A142" s="4" t="s">
        <v>45</v>
      </c>
      <c r="B142" s="3" t="s">
        <v>10</v>
      </c>
      <c r="C142" s="17" t="s">
        <v>354</v>
      </c>
      <c r="D142" s="17" t="s">
        <v>361</v>
      </c>
      <c r="E142" s="3" t="s">
        <v>101</v>
      </c>
      <c r="F142" s="3" t="s">
        <v>8</v>
      </c>
      <c r="G142" s="7">
        <f>11500/1000</f>
        <v>11.5</v>
      </c>
    </row>
    <row r="143" spans="1:7" ht="89.25" x14ac:dyDescent="0.25">
      <c r="A143" s="4" t="s">
        <v>19</v>
      </c>
      <c r="B143" s="3" t="s">
        <v>10</v>
      </c>
      <c r="C143" s="17" t="s">
        <v>354</v>
      </c>
      <c r="D143" s="17" t="s">
        <v>361</v>
      </c>
      <c r="E143" s="3" t="s">
        <v>101</v>
      </c>
      <c r="F143" s="3" t="s">
        <v>20</v>
      </c>
      <c r="G143" s="7">
        <f>2970/1000</f>
        <v>2.97</v>
      </c>
    </row>
    <row r="144" spans="1:7" ht="38.25" x14ac:dyDescent="0.25">
      <c r="A144" s="4" t="s">
        <v>31</v>
      </c>
      <c r="B144" s="3" t="s">
        <v>10</v>
      </c>
      <c r="C144" s="17" t="s">
        <v>354</v>
      </c>
      <c r="D144" s="17" t="s">
        <v>361</v>
      </c>
      <c r="E144" s="3" t="s">
        <v>101</v>
      </c>
      <c r="F144" s="3" t="s">
        <v>32</v>
      </c>
      <c r="G144" s="7">
        <f>8530/1000</f>
        <v>8.5299999999999994</v>
      </c>
    </row>
    <row r="145" spans="1:7" ht="25.5" x14ac:dyDescent="0.25">
      <c r="A145" s="4" t="s">
        <v>45</v>
      </c>
      <c r="B145" s="3" t="s">
        <v>10</v>
      </c>
      <c r="C145" s="17" t="s">
        <v>354</v>
      </c>
      <c r="D145" s="17" t="s">
        <v>361</v>
      </c>
      <c r="E145" s="3" t="s">
        <v>128</v>
      </c>
      <c r="F145" s="3" t="s">
        <v>8</v>
      </c>
      <c r="G145" s="7">
        <f>5000/1000</f>
        <v>5</v>
      </c>
    </row>
    <row r="146" spans="1:7" ht="38.25" x14ac:dyDescent="0.25">
      <c r="A146" s="4" t="s">
        <v>31</v>
      </c>
      <c r="B146" s="3" t="s">
        <v>10</v>
      </c>
      <c r="C146" s="17" t="s">
        <v>354</v>
      </c>
      <c r="D146" s="17" t="s">
        <v>361</v>
      </c>
      <c r="E146" s="3" t="s">
        <v>128</v>
      </c>
      <c r="F146" s="3" t="s">
        <v>32</v>
      </c>
      <c r="G146" s="7">
        <f>5000/1000</f>
        <v>5</v>
      </c>
    </row>
    <row r="147" spans="1:7" ht="25.5" x14ac:dyDescent="0.25">
      <c r="A147" s="4" t="s">
        <v>45</v>
      </c>
      <c r="B147" s="3" t="s">
        <v>10</v>
      </c>
      <c r="C147" s="17" t="s">
        <v>354</v>
      </c>
      <c r="D147" s="17" t="s">
        <v>361</v>
      </c>
      <c r="E147" s="3" t="s">
        <v>129</v>
      </c>
      <c r="F147" s="3" t="s">
        <v>8</v>
      </c>
      <c r="G147" s="7">
        <f>99000/1000</f>
        <v>99</v>
      </c>
    </row>
    <row r="148" spans="1:7" ht="38.25" x14ac:dyDescent="0.25">
      <c r="A148" s="4" t="s">
        <v>31</v>
      </c>
      <c r="B148" s="3" t="s">
        <v>10</v>
      </c>
      <c r="C148" s="17" t="s">
        <v>354</v>
      </c>
      <c r="D148" s="17" t="s">
        <v>361</v>
      </c>
      <c r="E148" s="3" t="s">
        <v>129</v>
      </c>
      <c r="F148" s="3" t="s">
        <v>32</v>
      </c>
      <c r="G148" s="7">
        <f>99000/1000</f>
        <v>99</v>
      </c>
    </row>
    <row r="149" spans="1:7" ht="25.5" x14ac:dyDescent="0.25">
      <c r="A149" s="4" t="s">
        <v>45</v>
      </c>
      <c r="B149" s="3" t="s">
        <v>10</v>
      </c>
      <c r="C149" s="17" t="s">
        <v>354</v>
      </c>
      <c r="D149" s="17" t="s">
        <v>361</v>
      </c>
      <c r="E149" s="3" t="s">
        <v>130</v>
      </c>
      <c r="F149" s="3" t="s">
        <v>8</v>
      </c>
      <c r="G149" s="7">
        <f>7500/1000</f>
        <v>7.5</v>
      </c>
    </row>
    <row r="150" spans="1:7" ht="38.25" x14ac:dyDescent="0.25">
      <c r="A150" s="4" t="s">
        <v>31</v>
      </c>
      <c r="B150" s="3" t="s">
        <v>10</v>
      </c>
      <c r="C150" s="17" t="s">
        <v>354</v>
      </c>
      <c r="D150" s="17" t="s">
        <v>361</v>
      </c>
      <c r="E150" s="3" t="s">
        <v>130</v>
      </c>
      <c r="F150" s="3" t="s">
        <v>32</v>
      </c>
      <c r="G150" s="7">
        <f>7500/1000</f>
        <v>7.5</v>
      </c>
    </row>
    <row r="151" spans="1:7" ht="25.5" x14ac:dyDescent="0.25">
      <c r="A151" s="4" t="s">
        <v>131</v>
      </c>
      <c r="B151" s="3" t="s">
        <v>10</v>
      </c>
      <c r="C151" s="17" t="s">
        <v>355</v>
      </c>
      <c r="D151" s="17" t="s">
        <v>353</v>
      </c>
      <c r="E151" s="3" t="s">
        <v>7</v>
      </c>
      <c r="F151" s="3" t="s">
        <v>8</v>
      </c>
      <c r="G151" s="7">
        <f>29147722.78/1000</f>
        <v>29147.72278</v>
      </c>
    </row>
    <row r="152" spans="1:7" x14ac:dyDescent="0.25">
      <c r="A152" s="4" t="s">
        <v>132</v>
      </c>
      <c r="B152" s="3" t="s">
        <v>10</v>
      </c>
      <c r="C152" s="17" t="s">
        <v>355</v>
      </c>
      <c r="D152" s="17" t="s">
        <v>351</v>
      </c>
      <c r="E152" s="3" t="s">
        <v>7</v>
      </c>
      <c r="F152" s="3" t="s">
        <v>8</v>
      </c>
      <c r="G152" s="7">
        <f>8301395.76/1000</f>
        <v>8301.3957599999994</v>
      </c>
    </row>
    <row r="153" spans="1:7" ht="63.75" x14ac:dyDescent="0.25">
      <c r="A153" s="4" t="s">
        <v>13</v>
      </c>
      <c r="B153" s="3" t="s">
        <v>10</v>
      </c>
      <c r="C153" s="17" t="s">
        <v>355</v>
      </c>
      <c r="D153" s="17" t="s">
        <v>351</v>
      </c>
      <c r="E153" s="3" t="s">
        <v>14</v>
      </c>
      <c r="F153" s="3" t="s">
        <v>8</v>
      </c>
      <c r="G153" s="7">
        <f>8301395.76/1000</f>
        <v>8301.3957599999994</v>
      </c>
    </row>
    <row r="154" spans="1:7" ht="63.75" x14ac:dyDescent="0.25">
      <c r="A154" s="4" t="s">
        <v>68</v>
      </c>
      <c r="B154" s="3" t="s">
        <v>10</v>
      </c>
      <c r="C154" s="17" t="s">
        <v>355</v>
      </c>
      <c r="D154" s="17" t="s">
        <v>351</v>
      </c>
      <c r="E154" s="3" t="s">
        <v>69</v>
      </c>
      <c r="F154" s="3" t="s">
        <v>8</v>
      </c>
      <c r="G154" s="7">
        <f>50000/1000</f>
        <v>50</v>
      </c>
    </row>
    <row r="155" spans="1:7" ht="38.25" x14ac:dyDescent="0.25">
      <c r="A155" s="4" t="s">
        <v>133</v>
      </c>
      <c r="B155" s="3" t="s">
        <v>10</v>
      </c>
      <c r="C155" s="17" t="s">
        <v>355</v>
      </c>
      <c r="D155" s="17" t="s">
        <v>351</v>
      </c>
      <c r="E155" s="3" t="s">
        <v>134</v>
      </c>
      <c r="F155" s="3" t="s">
        <v>8</v>
      </c>
      <c r="G155" s="7">
        <f>50000/1000</f>
        <v>50</v>
      </c>
    </row>
    <row r="156" spans="1:7" ht="38.25" x14ac:dyDescent="0.25">
      <c r="A156" s="4" t="s">
        <v>31</v>
      </c>
      <c r="B156" s="3" t="s">
        <v>10</v>
      </c>
      <c r="C156" s="17" t="s">
        <v>355</v>
      </c>
      <c r="D156" s="17" t="s">
        <v>351</v>
      </c>
      <c r="E156" s="3" t="s">
        <v>134</v>
      </c>
      <c r="F156" s="3" t="s">
        <v>32</v>
      </c>
      <c r="G156" s="7">
        <f>50000/1000</f>
        <v>50</v>
      </c>
    </row>
    <row r="157" spans="1:7" ht="25.5" x14ac:dyDescent="0.25">
      <c r="A157" s="4" t="s">
        <v>21</v>
      </c>
      <c r="B157" s="3" t="s">
        <v>10</v>
      </c>
      <c r="C157" s="17" t="s">
        <v>355</v>
      </c>
      <c r="D157" s="17" t="s">
        <v>351</v>
      </c>
      <c r="E157" s="3" t="s">
        <v>22</v>
      </c>
      <c r="F157" s="3" t="s">
        <v>8</v>
      </c>
      <c r="G157" s="7">
        <f>8251395.76/1000</f>
        <v>8251.3957599999994</v>
      </c>
    </row>
    <row r="158" spans="1:7" ht="63.75" x14ac:dyDescent="0.25">
      <c r="A158" s="4" t="s">
        <v>135</v>
      </c>
      <c r="B158" s="3" t="s">
        <v>10</v>
      </c>
      <c r="C158" s="17" t="s">
        <v>355</v>
      </c>
      <c r="D158" s="17" t="s">
        <v>351</v>
      </c>
      <c r="E158" s="3" t="s">
        <v>136</v>
      </c>
      <c r="F158" s="3" t="s">
        <v>8</v>
      </c>
      <c r="G158" s="7">
        <f>1000/1000</f>
        <v>1</v>
      </c>
    </row>
    <row r="159" spans="1:7" ht="38.25" x14ac:dyDescent="0.25">
      <c r="A159" s="4" t="s">
        <v>31</v>
      </c>
      <c r="B159" s="3" t="s">
        <v>10</v>
      </c>
      <c r="C159" s="17" t="s">
        <v>355</v>
      </c>
      <c r="D159" s="17" t="s">
        <v>351</v>
      </c>
      <c r="E159" s="3" t="s">
        <v>136</v>
      </c>
      <c r="F159" s="3" t="s">
        <v>32</v>
      </c>
      <c r="G159" s="7">
        <f>1000/1000</f>
        <v>1</v>
      </c>
    </row>
    <row r="160" spans="1:7" ht="25.5" x14ac:dyDescent="0.25">
      <c r="A160" s="4" t="s">
        <v>33</v>
      </c>
      <c r="B160" s="3" t="s">
        <v>10</v>
      </c>
      <c r="C160" s="17" t="s">
        <v>355</v>
      </c>
      <c r="D160" s="17" t="s">
        <v>351</v>
      </c>
      <c r="E160" s="3" t="s">
        <v>136</v>
      </c>
      <c r="F160" s="3" t="s">
        <v>34</v>
      </c>
      <c r="G160" s="7">
        <f>1000/1000</f>
        <v>1</v>
      </c>
    </row>
    <row r="161" spans="1:7" ht="25.5" x14ac:dyDescent="0.25">
      <c r="A161" s="4" t="s">
        <v>45</v>
      </c>
      <c r="B161" s="3" t="s">
        <v>10</v>
      </c>
      <c r="C161" s="17" t="s">
        <v>355</v>
      </c>
      <c r="D161" s="17" t="s">
        <v>351</v>
      </c>
      <c r="E161" s="3" t="s">
        <v>97</v>
      </c>
      <c r="F161" s="3" t="s">
        <v>8</v>
      </c>
      <c r="G161" s="7">
        <f>8250395.76/1000</f>
        <v>8250.3957599999994</v>
      </c>
    </row>
    <row r="162" spans="1:7" ht="38.25" x14ac:dyDescent="0.25">
      <c r="A162" s="4" t="s">
        <v>31</v>
      </c>
      <c r="B162" s="3" t="s">
        <v>10</v>
      </c>
      <c r="C162" s="17" t="s">
        <v>355</v>
      </c>
      <c r="D162" s="17" t="s">
        <v>351</v>
      </c>
      <c r="E162" s="3" t="s">
        <v>97</v>
      </c>
      <c r="F162" s="3" t="s">
        <v>32</v>
      </c>
      <c r="G162" s="7">
        <f>8250395.76/1000</f>
        <v>8250.3957599999994</v>
      </c>
    </row>
    <row r="163" spans="1:7" x14ac:dyDescent="0.25">
      <c r="A163" s="4" t="s">
        <v>137</v>
      </c>
      <c r="B163" s="3" t="s">
        <v>10</v>
      </c>
      <c r="C163" s="17" t="s">
        <v>355</v>
      </c>
      <c r="D163" s="17" t="s">
        <v>352</v>
      </c>
      <c r="E163" s="3" t="s">
        <v>7</v>
      </c>
      <c r="F163" s="3" t="s">
        <v>8</v>
      </c>
      <c r="G163" s="7">
        <f>20535062.29/1000</f>
        <v>20535.062289999998</v>
      </c>
    </row>
    <row r="164" spans="1:7" ht="63.75" x14ac:dyDescent="0.25">
      <c r="A164" s="4" t="s">
        <v>47</v>
      </c>
      <c r="B164" s="3" t="s">
        <v>10</v>
      </c>
      <c r="C164" s="17" t="s">
        <v>355</v>
      </c>
      <c r="D164" s="17" t="s">
        <v>352</v>
      </c>
      <c r="E164" s="3" t="s">
        <v>48</v>
      </c>
      <c r="F164" s="3" t="s">
        <v>8</v>
      </c>
      <c r="G164" s="7">
        <f>9404713.52/1000</f>
        <v>9404.7135199999993</v>
      </c>
    </row>
    <row r="165" spans="1:7" ht="63.75" x14ac:dyDescent="0.25">
      <c r="A165" s="4" t="s">
        <v>138</v>
      </c>
      <c r="B165" s="3" t="s">
        <v>10</v>
      </c>
      <c r="C165" s="17" t="s">
        <v>355</v>
      </c>
      <c r="D165" s="17" t="s">
        <v>352</v>
      </c>
      <c r="E165" s="3" t="s">
        <v>48</v>
      </c>
      <c r="F165" s="3" t="s">
        <v>8</v>
      </c>
      <c r="G165" s="7">
        <f>50000/1000</f>
        <v>50</v>
      </c>
    </row>
    <row r="166" spans="1:7" ht="25.5" x14ac:dyDescent="0.25">
      <c r="A166" s="4" t="s">
        <v>45</v>
      </c>
      <c r="B166" s="3" t="s">
        <v>10</v>
      </c>
      <c r="C166" s="17" t="s">
        <v>355</v>
      </c>
      <c r="D166" s="17" t="s">
        <v>352</v>
      </c>
      <c r="E166" s="3" t="s">
        <v>139</v>
      </c>
      <c r="F166" s="3" t="s">
        <v>8</v>
      </c>
      <c r="G166" s="7">
        <f>50000/1000</f>
        <v>50</v>
      </c>
    </row>
    <row r="167" spans="1:7" ht="38.25" x14ac:dyDescent="0.25">
      <c r="A167" s="4" t="s">
        <v>31</v>
      </c>
      <c r="B167" s="3" t="s">
        <v>10</v>
      </c>
      <c r="C167" s="17" t="s">
        <v>355</v>
      </c>
      <c r="D167" s="17" t="s">
        <v>352</v>
      </c>
      <c r="E167" s="3" t="s">
        <v>139</v>
      </c>
      <c r="F167" s="3" t="s">
        <v>32</v>
      </c>
      <c r="G167" s="7">
        <f>50000/1000</f>
        <v>50</v>
      </c>
    </row>
    <row r="168" spans="1:7" ht="89.25" x14ac:dyDescent="0.25">
      <c r="A168" s="4" t="s">
        <v>140</v>
      </c>
      <c r="B168" s="3" t="s">
        <v>10</v>
      </c>
      <c r="C168" s="17" t="s">
        <v>355</v>
      </c>
      <c r="D168" s="17" t="s">
        <v>352</v>
      </c>
      <c r="E168" s="3" t="s">
        <v>141</v>
      </c>
      <c r="F168" s="3" t="s">
        <v>8</v>
      </c>
      <c r="G168" s="7">
        <f>9354713.52/1000</f>
        <v>9354.7135199999993</v>
      </c>
    </row>
    <row r="169" spans="1:7" ht="51" x14ac:dyDescent="0.25">
      <c r="A169" s="4" t="s">
        <v>142</v>
      </c>
      <c r="B169" s="3" t="s">
        <v>10</v>
      </c>
      <c r="C169" s="17" t="s">
        <v>355</v>
      </c>
      <c r="D169" s="17" t="s">
        <v>352</v>
      </c>
      <c r="E169" s="3" t="s">
        <v>143</v>
      </c>
      <c r="F169" s="3" t="s">
        <v>8</v>
      </c>
      <c r="G169" s="7">
        <f>7762272/1000</f>
        <v>7762.2719999999999</v>
      </c>
    </row>
    <row r="170" spans="1:7" ht="38.25" x14ac:dyDescent="0.25">
      <c r="A170" s="4" t="s">
        <v>31</v>
      </c>
      <c r="B170" s="3" t="s">
        <v>10</v>
      </c>
      <c r="C170" s="17" t="s">
        <v>355</v>
      </c>
      <c r="D170" s="17" t="s">
        <v>352</v>
      </c>
      <c r="E170" s="3" t="s">
        <v>143</v>
      </c>
      <c r="F170" s="3" t="s">
        <v>32</v>
      </c>
      <c r="G170" s="7">
        <f>7762272/1000</f>
        <v>7762.2719999999999</v>
      </c>
    </row>
    <row r="171" spans="1:7" ht="25.5" x14ac:dyDescent="0.25">
      <c r="A171" s="4" t="s">
        <v>33</v>
      </c>
      <c r="B171" s="3" t="s">
        <v>10</v>
      </c>
      <c r="C171" s="17" t="s">
        <v>355</v>
      </c>
      <c r="D171" s="17" t="s">
        <v>352</v>
      </c>
      <c r="E171" s="3" t="s">
        <v>143</v>
      </c>
      <c r="F171" s="3" t="s">
        <v>34</v>
      </c>
      <c r="G171" s="7">
        <f>7762272/1000</f>
        <v>7762.2719999999999</v>
      </c>
    </row>
    <row r="172" spans="1:7" ht="25.5" x14ac:dyDescent="0.25">
      <c r="A172" s="4" t="s">
        <v>45</v>
      </c>
      <c r="B172" s="3" t="s">
        <v>10</v>
      </c>
      <c r="C172" s="17" t="s">
        <v>355</v>
      </c>
      <c r="D172" s="17" t="s">
        <v>352</v>
      </c>
      <c r="E172" s="3" t="s">
        <v>144</v>
      </c>
      <c r="F172" s="3" t="s">
        <v>8</v>
      </c>
      <c r="G172" s="7">
        <f>191622.52/1000</f>
        <v>191.62251999999998</v>
      </c>
    </row>
    <row r="173" spans="1:7" ht="38.25" x14ac:dyDescent="0.25">
      <c r="A173" s="4" t="s">
        <v>31</v>
      </c>
      <c r="B173" s="3" t="s">
        <v>10</v>
      </c>
      <c r="C173" s="17" t="s">
        <v>355</v>
      </c>
      <c r="D173" s="17" t="s">
        <v>352</v>
      </c>
      <c r="E173" s="3" t="s">
        <v>144</v>
      </c>
      <c r="F173" s="3" t="s">
        <v>32</v>
      </c>
      <c r="G173" s="7">
        <f>190622.52/1000</f>
        <v>190.62251999999998</v>
      </c>
    </row>
    <row r="174" spans="1:7" ht="25.5" x14ac:dyDescent="0.25">
      <c r="A174" s="4" t="s">
        <v>35</v>
      </c>
      <c r="B174" s="3" t="s">
        <v>10</v>
      </c>
      <c r="C174" s="17" t="s">
        <v>355</v>
      </c>
      <c r="D174" s="17" t="s">
        <v>352</v>
      </c>
      <c r="E174" s="3" t="s">
        <v>144</v>
      </c>
      <c r="F174" s="3" t="s">
        <v>36</v>
      </c>
      <c r="G174" s="7">
        <f>1000/1000</f>
        <v>1</v>
      </c>
    </row>
    <row r="175" spans="1:7" ht="51" x14ac:dyDescent="0.25">
      <c r="A175" s="4" t="s">
        <v>142</v>
      </c>
      <c r="B175" s="3" t="s">
        <v>10</v>
      </c>
      <c r="C175" s="17" t="s">
        <v>355</v>
      </c>
      <c r="D175" s="17" t="s">
        <v>352</v>
      </c>
      <c r="E175" s="3" t="s">
        <v>145</v>
      </c>
      <c r="F175" s="3" t="s">
        <v>8</v>
      </c>
      <c r="G175" s="7">
        <f>1400819/1000</f>
        <v>1400.819</v>
      </c>
    </row>
    <row r="176" spans="1:7" ht="38.25" x14ac:dyDescent="0.25">
      <c r="A176" s="4" t="s">
        <v>31</v>
      </c>
      <c r="B176" s="3" t="s">
        <v>10</v>
      </c>
      <c r="C176" s="17" t="s">
        <v>355</v>
      </c>
      <c r="D176" s="17" t="s">
        <v>352</v>
      </c>
      <c r="E176" s="3" t="s">
        <v>145</v>
      </c>
      <c r="F176" s="3" t="s">
        <v>32</v>
      </c>
      <c r="G176" s="7">
        <f>1400819/1000</f>
        <v>1400.819</v>
      </c>
    </row>
    <row r="177" spans="1:7" ht="63.75" x14ac:dyDescent="0.25">
      <c r="A177" s="4" t="s">
        <v>13</v>
      </c>
      <c r="B177" s="3" t="s">
        <v>10</v>
      </c>
      <c r="C177" s="17" t="s">
        <v>355</v>
      </c>
      <c r="D177" s="17" t="s">
        <v>352</v>
      </c>
      <c r="E177" s="3" t="s">
        <v>14</v>
      </c>
      <c r="F177" s="3" t="s">
        <v>8</v>
      </c>
      <c r="G177" s="7">
        <f>11130348.77/1000</f>
        <v>11130.348769999999</v>
      </c>
    </row>
    <row r="178" spans="1:7" ht="25.5" x14ac:dyDescent="0.25">
      <c r="A178" s="4" t="s">
        <v>21</v>
      </c>
      <c r="B178" s="3" t="s">
        <v>10</v>
      </c>
      <c r="C178" s="17" t="s">
        <v>355</v>
      </c>
      <c r="D178" s="17" t="s">
        <v>352</v>
      </c>
      <c r="E178" s="3" t="s">
        <v>22</v>
      </c>
      <c r="F178" s="3" t="s">
        <v>8</v>
      </c>
      <c r="G178" s="7">
        <f>11130348.77/1000</f>
        <v>11130.348769999999</v>
      </c>
    </row>
    <row r="179" spans="1:7" ht="25.5" x14ac:dyDescent="0.25">
      <c r="A179" s="4" t="s">
        <v>45</v>
      </c>
      <c r="B179" s="3" t="s">
        <v>10</v>
      </c>
      <c r="C179" s="17" t="s">
        <v>355</v>
      </c>
      <c r="D179" s="17" t="s">
        <v>352</v>
      </c>
      <c r="E179" s="3" t="s">
        <v>97</v>
      </c>
      <c r="F179" s="3" t="s">
        <v>8</v>
      </c>
      <c r="G179" s="7">
        <f>11130348.77/1000</f>
        <v>11130.348769999999</v>
      </c>
    </row>
    <row r="180" spans="1:7" ht="38.25" x14ac:dyDescent="0.25">
      <c r="A180" s="4" t="s">
        <v>31</v>
      </c>
      <c r="B180" s="3" t="s">
        <v>10</v>
      </c>
      <c r="C180" s="17" t="s">
        <v>355</v>
      </c>
      <c r="D180" s="17" t="s">
        <v>352</v>
      </c>
      <c r="E180" s="3" t="s">
        <v>97</v>
      </c>
      <c r="F180" s="3" t="s">
        <v>32</v>
      </c>
      <c r="G180" s="7">
        <f>10962138.63/1000</f>
        <v>10962.138630000001</v>
      </c>
    </row>
    <row r="181" spans="1:7" ht="25.5" x14ac:dyDescent="0.25">
      <c r="A181" s="4" t="s">
        <v>35</v>
      </c>
      <c r="B181" s="3" t="s">
        <v>10</v>
      </c>
      <c r="C181" s="17" t="s">
        <v>355</v>
      </c>
      <c r="D181" s="17" t="s">
        <v>352</v>
      </c>
      <c r="E181" s="3" t="s">
        <v>97</v>
      </c>
      <c r="F181" s="3" t="s">
        <v>36</v>
      </c>
      <c r="G181" s="7">
        <f>168210.14/1000</f>
        <v>168.21014000000002</v>
      </c>
    </row>
    <row r="182" spans="1:7" x14ac:dyDescent="0.25">
      <c r="A182" s="4" t="s">
        <v>146</v>
      </c>
      <c r="B182" s="3" t="s">
        <v>10</v>
      </c>
      <c r="C182" s="17" t="s">
        <v>355</v>
      </c>
      <c r="D182" s="17" t="s">
        <v>357</v>
      </c>
      <c r="E182" s="3" t="s">
        <v>7</v>
      </c>
      <c r="F182" s="3" t="s">
        <v>8</v>
      </c>
      <c r="G182" s="7">
        <f>311264.73/1000</f>
        <v>311.26472999999999</v>
      </c>
    </row>
    <row r="183" spans="1:7" ht="63.75" x14ac:dyDescent="0.25">
      <c r="A183" s="4" t="s">
        <v>47</v>
      </c>
      <c r="B183" s="3" t="s">
        <v>10</v>
      </c>
      <c r="C183" s="17" t="s">
        <v>355</v>
      </c>
      <c r="D183" s="17" t="s">
        <v>357</v>
      </c>
      <c r="E183" s="3" t="s">
        <v>48</v>
      </c>
      <c r="F183" s="3" t="s">
        <v>8</v>
      </c>
      <c r="G183" s="7">
        <f>78264.73/1000</f>
        <v>78.26473</v>
      </c>
    </row>
    <row r="184" spans="1:7" ht="63.75" x14ac:dyDescent="0.25">
      <c r="A184" s="4" t="s">
        <v>138</v>
      </c>
      <c r="B184" s="3" t="s">
        <v>10</v>
      </c>
      <c r="C184" s="17" t="s">
        <v>355</v>
      </c>
      <c r="D184" s="17" t="s">
        <v>357</v>
      </c>
      <c r="E184" s="3" t="s">
        <v>48</v>
      </c>
      <c r="F184" s="3" t="s">
        <v>8</v>
      </c>
      <c r="G184" s="7">
        <f>20000/1000</f>
        <v>20</v>
      </c>
    </row>
    <row r="185" spans="1:7" ht="25.5" x14ac:dyDescent="0.25">
      <c r="A185" s="4" t="s">
        <v>45</v>
      </c>
      <c r="B185" s="3" t="s">
        <v>10</v>
      </c>
      <c r="C185" s="17" t="s">
        <v>355</v>
      </c>
      <c r="D185" s="17" t="s">
        <v>357</v>
      </c>
      <c r="E185" s="3" t="s">
        <v>139</v>
      </c>
      <c r="F185" s="3" t="s">
        <v>8</v>
      </c>
      <c r="G185" s="7">
        <f>20000/1000</f>
        <v>20</v>
      </c>
    </row>
    <row r="186" spans="1:7" ht="38.25" x14ac:dyDescent="0.25">
      <c r="A186" s="4" t="s">
        <v>31</v>
      </c>
      <c r="B186" s="3" t="s">
        <v>10</v>
      </c>
      <c r="C186" s="17" t="s">
        <v>355</v>
      </c>
      <c r="D186" s="17" t="s">
        <v>357</v>
      </c>
      <c r="E186" s="3" t="s">
        <v>139</v>
      </c>
      <c r="F186" s="3" t="s">
        <v>32</v>
      </c>
      <c r="G186" s="7">
        <f>20000/1000</f>
        <v>20</v>
      </c>
    </row>
    <row r="187" spans="1:7" ht="89.25" x14ac:dyDescent="0.25">
      <c r="A187" s="4" t="s">
        <v>140</v>
      </c>
      <c r="B187" s="3" t="s">
        <v>10</v>
      </c>
      <c r="C187" s="17" t="s">
        <v>355</v>
      </c>
      <c r="D187" s="17" t="s">
        <v>357</v>
      </c>
      <c r="E187" s="3" t="s">
        <v>141</v>
      </c>
      <c r="F187" s="3" t="s">
        <v>8</v>
      </c>
      <c r="G187" s="7">
        <f>58264.73/1000</f>
        <v>58.26473</v>
      </c>
    </row>
    <row r="188" spans="1:7" ht="25.5" x14ac:dyDescent="0.25">
      <c r="A188" s="4" t="s">
        <v>45</v>
      </c>
      <c r="B188" s="3" t="s">
        <v>10</v>
      </c>
      <c r="C188" s="17" t="s">
        <v>355</v>
      </c>
      <c r="D188" s="17" t="s">
        <v>357</v>
      </c>
      <c r="E188" s="3" t="s">
        <v>151</v>
      </c>
      <c r="F188" s="3" t="s">
        <v>8</v>
      </c>
      <c r="G188" s="7">
        <f>58264.73/1000</f>
        <v>58.26473</v>
      </c>
    </row>
    <row r="189" spans="1:7" ht="38.25" x14ac:dyDescent="0.25">
      <c r="A189" s="4" t="s">
        <v>31</v>
      </c>
      <c r="B189" s="3" t="s">
        <v>10</v>
      </c>
      <c r="C189" s="17" t="s">
        <v>355</v>
      </c>
      <c r="D189" s="17" t="s">
        <v>357</v>
      </c>
      <c r="E189" s="3" t="s">
        <v>151</v>
      </c>
      <c r="F189" s="3" t="s">
        <v>32</v>
      </c>
      <c r="G189" s="7">
        <f>58264.73/1000</f>
        <v>58.26473</v>
      </c>
    </row>
    <row r="190" spans="1:7" ht="63.75" x14ac:dyDescent="0.25">
      <c r="A190" s="4" t="s">
        <v>13</v>
      </c>
      <c r="B190" s="3" t="s">
        <v>10</v>
      </c>
      <c r="C190" s="17" t="s">
        <v>355</v>
      </c>
      <c r="D190" s="17" t="s">
        <v>357</v>
      </c>
      <c r="E190" s="3" t="s">
        <v>14</v>
      </c>
      <c r="F190" s="3" t="s">
        <v>8</v>
      </c>
      <c r="G190" s="7">
        <f>233000/1000</f>
        <v>233</v>
      </c>
    </row>
    <row r="191" spans="1:7" ht="25.5" x14ac:dyDescent="0.25">
      <c r="A191" s="4" t="s">
        <v>21</v>
      </c>
      <c r="B191" s="3" t="s">
        <v>10</v>
      </c>
      <c r="C191" s="17" t="s">
        <v>355</v>
      </c>
      <c r="D191" s="17" t="s">
        <v>357</v>
      </c>
      <c r="E191" s="3" t="s">
        <v>22</v>
      </c>
      <c r="F191" s="3" t="s">
        <v>8</v>
      </c>
      <c r="G191" s="7">
        <f>233000/1000</f>
        <v>233</v>
      </c>
    </row>
    <row r="192" spans="1:7" ht="25.5" x14ac:dyDescent="0.25">
      <c r="A192" s="4" t="s">
        <v>45</v>
      </c>
      <c r="B192" s="3" t="s">
        <v>10</v>
      </c>
      <c r="C192" s="17" t="s">
        <v>355</v>
      </c>
      <c r="D192" s="17" t="s">
        <v>357</v>
      </c>
      <c r="E192" s="3" t="s">
        <v>97</v>
      </c>
      <c r="F192" s="3" t="s">
        <v>8</v>
      </c>
      <c r="G192" s="7">
        <f>233000/1000</f>
        <v>233</v>
      </c>
    </row>
    <row r="193" spans="1:7" ht="38.25" x14ac:dyDescent="0.25">
      <c r="A193" s="4" t="s">
        <v>31</v>
      </c>
      <c r="B193" s="3" t="s">
        <v>10</v>
      </c>
      <c r="C193" s="17" t="s">
        <v>355</v>
      </c>
      <c r="D193" s="17" t="s">
        <v>357</v>
      </c>
      <c r="E193" s="3" t="s">
        <v>97</v>
      </c>
      <c r="F193" s="3" t="s">
        <v>32</v>
      </c>
      <c r="G193" s="7">
        <f>233000/1000</f>
        <v>233</v>
      </c>
    </row>
    <row r="194" spans="1:7" x14ac:dyDescent="0.25">
      <c r="A194" s="4" t="s">
        <v>152</v>
      </c>
      <c r="B194" s="3" t="s">
        <v>10</v>
      </c>
      <c r="C194" s="17" t="s">
        <v>362</v>
      </c>
      <c r="D194" s="17" t="s">
        <v>353</v>
      </c>
      <c r="E194" s="3" t="s">
        <v>7</v>
      </c>
      <c r="F194" s="3" t="s">
        <v>8</v>
      </c>
      <c r="G194" s="7">
        <f t="shared" ref="G194:G200" si="0">31588186.12/1000</f>
        <v>31588.186120000002</v>
      </c>
    </row>
    <row r="195" spans="1:7" x14ac:dyDescent="0.25">
      <c r="A195" s="4" t="s">
        <v>153</v>
      </c>
      <c r="B195" s="3" t="s">
        <v>10</v>
      </c>
      <c r="C195" s="17" t="s">
        <v>362</v>
      </c>
      <c r="D195" s="17" t="s">
        <v>352</v>
      </c>
      <c r="E195" s="3" t="s">
        <v>7</v>
      </c>
      <c r="F195" s="3" t="s">
        <v>8</v>
      </c>
      <c r="G195" s="7">
        <f t="shared" si="0"/>
        <v>31588.186120000002</v>
      </c>
    </row>
    <row r="196" spans="1:7" ht="51" x14ac:dyDescent="0.25">
      <c r="A196" s="4" t="s">
        <v>154</v>
      </c>
      <c r="B196" s="3" t="s">
        <v>10</v>
      </c>
      <c r="C196" s="17" t="s">
        <v>362</v>
      </c>
      <c r="D196" s="17" t="s">
        <v>352</v>
      </c>
      <c r="E196" s="3" t="s">
        <v>155</v>
      </c>
      <c r="F196" s="3" t="s">
        <v>8</v>
      </c>
      <c r="G196" s="7">
        <f t="shared" si="0"/>
        <v>31588.186120000002</v>
      </c>
    </row>
    <row r="197" spans="1:7" ht="25.5" x14ac:dyDescent="0.25">
      <c r="A197" s="4" t="s">
        <v>156</v>
      </c>
      <c r="B197" s="3" t="s">
        <v>10</v>
      </c>
      <c r="C197" s="17" t="s">
        <v>362</v>
      </c>
      <c r="D197" s="17" t="s">
        <v>352</v>
      </c>
      <c r="E197" s="3" t="s">
        <v>157</v>
      </c>
      <c r="F197" s="3" t="s">
        <v>8</v>
      </c>
      <c r="G197" s="7">
        <f t="shared" si="0"/>
        <v>31588.186120000002</v>
      </c>
    </row>
    <row r="198" spans="1:7" ht="38.25" x14ac:dyDescent="0.25">
      <c r="A198" s="4" t="s">
        <v>158</v>
      </c>
      <c r="B198" s="3" t="s">
        <v>10</v>
      </c>
      <c r="C198" s="17" t="s">
        <v>362</v>
      </c>
      <c r="D198" s="17" t="s">
        <v>352</v>
      </c>
      <c r="E198" s="3" t="s">
        <v>159</v>
      </c>
      <c r="F198" s="3" t="s">
        <v>8</v>
      </c>
      <c r="G198" s="7">
        <f t="shared" si="0"/>
        <v>31588.186120000002</v>
      </c>
    </row>
    <row r="199" spans="1:7" ht="63.75" x14ac:dyDescent="0.25">
      <c r="A199" s="4" t="s">
        <v>162</v>
      </c>
      <c r="B199" s="3" t="s">
        <v>10</v>
      </c>
      <c r="C199" s="17" t="s">
        <v>362</v>
      </c>
      <c r="D199" s="17" t="s">
        <v>352</v>
      </c>
      <c r="E199" s="3" t="s">
        <v>163</v>
      </c>
      <c r="F199" s="3" t="s">
        <v>8</v>
      </c>
      <c r="G199" s="7">
        <f t="shared" si="0"/>
        <v>31588.186120000002</v>
      </c>
    </row>
    <row r="200" spans="1:7" ht="38.25" x14ac:dyDescent="0.25">
      <c r="A200" s="4" t="s">
        <v>31</v>
      </c>
      <c r="B200" s="3" t="s">
        <v>10</v>
      </c>
      <c r="C200" s="17" t="s">
        <v>362</v>
      </c>
      <c r="D200" s="17" t="s">
        <v>352</v>
      </c>
      <c r="E200" s="3" t="s">
        <v>163</v>
      </c>
      <c r="F200" s="3" t="s">
        <v>32</v>
      </c>
      <c r="G200" s="7">
        <f t="shared" si="0"/>
        <v>31588.186120000002</v>
      </c>
    </row>
    <row r="201" spans="1:7" x14ac:dyDescent="0.25">
      <c r="A201" s="4" t="s">
        <v>164</v>
      </c>
      <c r="B201" s="3" t="s">
        <v>10</v>
      </c>
      <c r="C201" s="17" t="s">
        <v>358</v>
      </c>
      <c r="D201" s="17" t="s">
        <v>353</v>
      </c>
      <c r="E201" s="3" t="s">
        <v>7</v>
      </c>
      <c r="F201" s="3" t="s">
        <v>8</v>
      </c>
      <c r="G201" s="7">
        <f>5523200/1000</f>
        <v>5523.2</v>
      </c>
    </row>
    <row r="202" spans="1:7" ht="25.5" x14ac:dyDescent="0.25">
      <c r="A202" s="4" t="s">
        <v>165</v>
      </c>
      <c r="B202" s="3" t="s">
        <v>10</v>
      </c>
      <c r="C202" s="17" t="s">
        <v>358</v>
      </c>
      <c r="D202" s="17" t="s">
        <v>357</v>
      </c>
      <c r="E202" s="3" t="s">
        <v>7</v>
      </c>
      <c r="F202" s="3" t="s">
        <v>8</v>
      </c>
      <c r="G202" s="7">
        <f>5516000/1000</f>
        <v>5516</v>
      </c>
    </row>
    <row r="203" spans="1:7" ht="63.75" x14ac:dyDescent="0.25">
      <c r="A203" s="4" t="s">
        <v>47</v>
      </c>
      <c r="B203" s="3" t="s">
        <v>10</v>
      </c>
      <c r="C203" s="17" t="s">
        <v>358</v>
      </c>
      <c r="D203" s="17" t="s">
        <v>357</v>
      </c>
      <c r="E203" s="3" t="s">
        <v>48</v>
      </c>
      <c r="F203" s="3" t="s">
        <v>8</v>
      </c>
      <c r="G203" s="7">
        <f>975000/1000</f>
        <v>975</v>
      </c>
    </row>
    <row r="204" spans="1:7" ht="76.5" x14ac:dyDescent="0.25">
      <c r="A204" s="4" t="s">
        <v>56</v>
      </c>
      <c r="B204" s="3" t="s">
        <v>10</v>
      </c>
      <c r="C204" s="17" t="s">
        <v>358</v>
      </c>
      <c r="D204" s="17" t="s">
        <v>357</v>
      </c>
      <c r="E204" s="3" t="s">
        <v>57</v>
      </c>
      <c r="F204" s="3" t="s">
        <v>8</v>
      </c>
      <c r="G204" s="7">
        <f>975000/1000</f>
        <v>975</v>
      </c>
    </row>
    <row r="205" spans="1:7" ht="51" x14ac:dyDescent="0.25">
      <c r="A205" s="4" t="s">
        <v>58</v>
      </c>
      <c r="B205" s="3" t="s">
        <v>10</v>
      </c>
      <c r="C205" s="17" t="s">
        <v>358</v>
      </c>
      <c r="D205" s="17" t="s">
        <v>357</v>
      </c>
      <c r="E205" s="3" t="s">
        <v>59</v>
      </c>
      <c r="F205" s="3" t="s">
        <v>8</v>
      </c>
      <c r="G205" s="7">
        <f>975000/1000</f>
        <v>975</v>
      </c>
    </row>
    <row r="206" spans="1:7" ht="51" x14ac:dyDescent="0.25">
      <c r="A206" s="4" t="s">
        <v>60</v>
      </c>
      <c r="B206" s="3" t="s">
        <v>10</v>
      </c>
      <c r="C206" s="17" t="s">
        <v>358</v>
      </c>
      <c r="D206" s="17" t="s">
        <v>357</v>
      </c>
      <c r="E206" s="3" t="s">
        <v>61</v>
      </c>
      <c r="F206" s="3" t="s">
        <v>8</v>
      </c>
      <c r="G206" s="7">
        <f>975000/1000</f>
        <v>975</v>
      </c>
    </row>
    <row r="207" spans="1:7" ht="25.5" x14ac:dyDescent="0.25">
      <c r="A207" s="4" t="s">
        <v>102</v>
      </c>
      <c r="B207" s="3" t="s">
        <v>10</v>
      </c>
      <c r="C207" s="17" t="s">
        <v>358</v>
      </c>
      <c r="D207" s="17" t="s">
        <v>357</v>
      </c>
      <c r="E207" s="3" t="s">
        <v>61</v>
      </c>
      <c r="F207" s="3" t="s">
        <v>103</v>
      </c>
      <c r="G207" s="7">
        <f>975000/1000</f>
        <v>975</v>
      </c>
    </row>
    <row r="208" spans="1:7" ht="63.75" x14ac:dyDescent="0.25">
      <c r="A208" s="4" t="s">
        <v>13</v>
      </c>
      <c r="B208" s="3" t="s">
        <v>10</v>
      </c>
      <c r="C208" s="17" t="s">
        <v>358</v>
      </c>
      <c r="D208" s="17" t="s">
        <v>357</v>
      </c>
      <c r="E208" s="3" t="s">
        <v>14</v>
      </c>
      <c r="F208" s="3" t="s">
        <v>8</v>
      </c>
      <c r="G208" s="7">
        <f>4541000/1000</f>
        <v>4541</v>
      </c>
    </row>
    <row r="209" spans="1:7" ht="63.75" x14ac:dyDescent="0.25">
      <c r="A209" s="4" t="s">
        <v>68</v>
      </c>
      <c r="B209" s="3" t="s">
        <v>10</v>
      </c>
      <c r="C209" s="17" t="s">
        <v>358</v>
      </c>
      <c r="D209" s="17" t="s">
        <v>357</v>
      </c>
      <c r="E209" s="3" t="s">
        <v>69</v>
      </c>
      <c r="F209" s="3" t="s">
        <v>8</v>
      </c>
      <c r="G209" s="7">
        <f>541000/1000</f>
        <v>541</v>
      </c>
    </row>
    <row r="210" spans="1:7" ht="38.25" x14ac:dyDescent="0.25">
      <c r="A210" s="4" t="s">
        <v>166</v>
      </c>
      <c r="B210" s="3" t="s">
        <v>10</v>
      </c>
      <c r="C210" s="17" t="s">
        <v>358</v>
      </c>
      <c r="D210" s="17" t="s">
        <v>357</v>
      </c>
      <c r="E210" s="3" t="s">
        <v>167</v>
      </c>
      <c r="F210" s="3" t="s">
        <v>8</v>
      </c>
      <c r="G210" s="7">
        <f>36000/1000</f>
        <v>36</v>
      </c>
    </row>
    <row r="211" spans="1:7" ht="25.5" x14ac:dyDescent="0.25">
      <c r="A211" s="4" t="s">
        <v>102</v>
      </c>
      <c r="B211" s="3" t="s">
        <v>10</v>
      </c>
      <c r="C211" s="17" t="s">
        <v>358</v>
      </c>
      <c r="D211" s="17" t="s">
        <v>357</v>
      </c>
      <c r="E211" s="3" t="s">
        <v>167</v>
      </c>
      <c r="F211" s="3" t="s">
        <v>103</v>
      </c>
      <c r="G211" s="7">
        <f>36000/1000</f>
        <v>36</v>
      </c>
    </row>
    <row r="212" spans="1:7" ht="38.25" x14ac:dyDescent="0.25">
      <c r="A212" s="4" t="s">
        <v>168</v>
      </c>
      <c r="B212" s="3" t="s">
        <v>10</v>
      </c>
      <c r="C212" s="17" t="s">
        <v>358</v>
      </c>
      <c r="D212" s="17" t="s">
        <v>357</v>
      </c>
      <c r="E212" s="3" t="s">
        <v>169</v>
      </c>
      <c r="F212" s="3" t="s">
        <v>8</v>
      </c>
      <c r="G212" s="7">
        <f>5000/1000</f>
        <v>5</v>
      </c>
    </row>
    <row r="213" spans="1:7" ht="25.5" x14ac:dyDescent="0.25">
      <c r="A213" s="4" t="s">
        <v>102</v>
      </c>
      <c r="B213" s="3" t="s">
        <v>10</v>
      </c>
      <c r="C213" s="17" t="s">
        <v>358</v>
      </c>
      <c r="D213" s="17" t="s">
        <v>357</v>
      </c>
      <c r="E213" s="3" t="s">
        <v>169</v>
      </c>
      <c r="F213" s="3" t="s">
        <v>103</v>
      </c>
      <c r="G213" s="7">
        <f>5000/1000</f>
        <v>5</v>
      </c>
    </row>
    <row r="214" spans="1:7" ht="25.5" x14ac:dyDescent="0.25">
      <c r="A214" s="4" t="s">
        <v>45</v>
      </c>
      <c r="B214" s="3" t="s">
        <v>10</v>
      </c>
      <c r="C214" s="17" t="s">
        <v>358</v>
      </c>
      <c r="D214" s="17" t="s">
        <v>357</v>
      </c>
      <c r="E214" s="3" t="s">
        <v>72</v>
      </c>
      <c r="F214" s="3" t="s">
        <v>8</v>
      </c>
      <c r="G214" s="7">
        <f>500000/1000</f>
        <v>500</v>
      </c>
    </row>
    <row r="215" spans="1:7" ht="25.5" x14ac:dyDescent="0.25">
      <c r="A215" s="4" t="s">
        <v>102</v>
      </c>
      <c r="B215" s="3" t="s">
        <v>10</v>
      </c>
      <c r="C215" s="17" t="s">
        <v>358</v>
      </c>
      <c r="D215" s="17" t="s">
        <v>357</v>
      </c>
      <c r="E215" s="3" t="s">
        <v>72</v>
      </c>
      <c r="F215" s="3" t="s">
        <v>103</v>
      </c>
      <c r="G215" s="7">
        <f>500000/1000</f>
        <v>500</v>
      </c>
    </row>
    <row r="216" spans="1:7" ht="25.5" x14ac:dyDescent="0.25">
      <c r="A216" s="4" t="s">
        <v>21</v>
      </c>
      <c r="B216" s="3" t="s">
        <v>10</v>
      </c>
      <c r="C216" s="17" t="s">
        <v>358</v>
      </c>
      <c r="D216" s="17" t="s">
        <v>357</v>
      </c>
      <c r="E216" s="3" t="s">
        <v>22</v>
      </c>
      <c r="F216" s="3" t="s">
        <v>8</v>
      </c>
      <c r="G216" s="7">
        <f>4000000/1000</f>
        <v>4000</v>
      </c>
    </row>
    <row r="217" spans="1:7" ht="51" x14ac:dyDescent="0.25">
      <c r="A217" s="4" t="s">
        <v>170</v>
      </c>
      <c r="B217" s="3" t="s">
        <v>10</v>
      </c>
      <c r="C217" s="17" t="s">
        <v>358</v>
      </c>
      <c r="D217" s="17" t="s">
        <v>357</v>
      </c>
      <c r="E217" s="3" t="s">
        <v>171</v>
      </c>
      <c r="F217" s="3" t="s">
        <v>8</v>
      </c>
      <c r="G217" s="7">
        <f>4000000/1000</f>
        <v>4000</v>
      </c>
    </row>
    <row r="218" spans="1:7" ht="25.5" x14ac:dyDescent="0.25">
      <c r="A218" s="4" t="s">
        <v>102</v>
      </c>
      <c r="B218" s="3" t="s">
        <v>10</v>
      </c>
      <c r="C218" s="17" t="s">
        <v>358</v>
      </c>
      <c r="D218" s="17" t="s">
        <v>357</v>
      </c>
      <c r="E218" s="3" t="s">
        <v>171</v>
      </c>
      <c r="F218" s="3" t="s">
        <v>103</v>
      </c>
      <c r="G218" s="7">
        <f>4000000/1000</f>
        <v>4000</v>
      </c>
    </row>
    <row r="219" spans="1:7" ht="25.5" x14ac:dyDescent="0.25">
      <c r="A219" s="4" t="s">
        <v>172</v>
      </c>
      <c r="B219" s="3" t="s">
        <v>10</v>
      </c>
      <c r="C219" s="17" t="s">
        <v>358</v>
      </c>
      <c r="D219" s="17" t="s">
        <v>363</v>
      </c>
      <c r="E219" s="3" t="s">
        <v>7</v>
      </c>
      <c r="F219" s="3" t="s">
        <v>8</v>
      </c>
      <c r="G219" s="7">
        <f>7200/1000</f>
        <v>7.2</v>
      </c>
    </row>
    <row r="220" spans="1:7" ht="63.75" x14ac:dyDescent="0.25">
      <c r="A220" s="4" t="s">
        <v>13</v>
      </c>
      <c r="B220" s="3" t="s">
        <v>10</v>
      </c>
      <c r="C220" s="17" t="s">
        <v>358</v>
      </c>
      <c r="D220" s="17" t="s">
        <v>363</v>
      </c>
      <c r="E220" s="3" t="s">
        <v>14</v>
      </c>
      <c r="F220" s="3" t="s">
        <v>8</v>
      </c>
      <c r="G220" s="7">
        <f>7200/1000</f>
        <v>7.2</v>
      </c>
    </row>
    <row r="221" spans="1:7" ht="63.75" x14ac:dyDescent="0.25">
      <c r="A221" s="4" t="s">
        <v>68</v>
      </c>
      <c r="B221" s="3" t="s">
        <v>10</v>
      </c>
      <c r="C221" s="17" t="s">
        <v>358</v>
      </c>
      <c r="D221" s="17" t="s">
        <v>363</v>
      </c>
      <c r="E221" s="3" t="s">
        <v>69</v>
      </c>
      <c r="F221" s="3" t="s">
        <v>8</v>
      </c>
      <c r="G221" s="7">
        <f>7200/1000</f>
        <v>7.2</v>
      </c>
    </row>
    <row r="222" spans="1:7" ht="25.5" x14ac:dyDescent="0.25">
      <c r="A222" s="4" t="s">
        <v>45</v>
      </c>
      <c r="B222" s="3" t="s">
        <v>10</v>
      </c>
      <c r="C222" s="17" t="s">
        <v>358</v>
      </c>
      <c r="D222" s="17" t="s">
        <v>363</v>
      </c>
      <c r="E222" s="3" t="s">
        <v>72</v>
      </c>
      <c r="F222" s="3" t="s">
        <v>8</v>
      </c>
      <c r="G222" s="7">
        <f>7200/1000</f>
        <v>7.2</v>
      </c>
    </row>
    <row r="223" spans="1:7" ht="38.25" x14ac:dyDescent="0.25">
      <c r="A223" s="4" t="s">
        <v>31</v>
      </c>
      <c r="B223" s="3" t="s">
        <v>10</v>
      </c>
      <c r="C223" s="17" t="s">
        <v>358</v>
      </c>
      <c r="D223" s="17" t="s">
        <v>363</v>
      </c>
      <c r="E223" s="3" t="s">
        <v>72</v>
      </c>
      <c r="F223" s="3" t="s">
        <v>32</v>
      </c>
      <c r="G223" s="7">
        <f>7200/1000</f>
        <v>7.2</v>
      </c>
    </row>
    <row r="224" spans="1:7" ht="63.75" x14ac:dyDescent="0.25">
      <c r="A224" s="11" t="s">
        <v>173</v>
      </c>
      <c r="B224" s="12" t="s">
        <v>174</v>
      </c>
      <c r="C224" s="18" t="s">
        <v>353</v>
      </c>
      <c r="D224" s="18" t="s">
        <v>353</v>
      </c>
      <c r="E224" s="12" t="s">
        <v>7</v>
      </c>
      <c r="F224" s="12" t="s">
        <v>8</v>
      </c>
      <c r="G224" s="14">
        <f>28092646.07/1000</f>
        <v>28092.646069999999</v>
      </c>
    </row>
    <row r="225" spans="1:7" ht="25.5" x14ac:dyDescent="0.25">
      <c r="A225" s="4" t="s">
        <v>11</v>
      </c>
      <c r="B225" s="3" t="s">
        <v>174</v>
      </c>
      <c r="C225" s="17" t="s">
        <v>351</v>
      </c>
      <c r="D225" s="17" t="s">
        <v>353</v>
      </c>
      <c r="E225" s="3" t="s">
        <v>7</v>
      </c>
      <c r="F225" s="3" t="s">
        <v>8</v>
      </c>
      <c r="G225" s="7">
        <f>4913131.35/1000</f>
        <v>4913.1313499999997</v>
      </c>
    </row>
    <row r="226" spans="1:7" ht="25.5" x14ac:dyDescent="0.25">
      <c r="A226" s="4" t="s">
        <v>40</v>
      </c>
      <c r="B226" s="3" t="s">
        <v>174</v>
      </c>
      <c r="C226" s="17" t="s">
        <v>351</v>
      </c>
      <c r="D226" s="17" t="s">
        <v>356</v>
      </c>
      <c r="E226" s="3" t="s">
        <v>7</v>
      </c>
      <c r="F226" s="3" t="s">
        <v>8</v>
      </c>
      <c r="G226" s="7">
        <f>4913131.35/1000</f>
        <v>4913.1313499999997</v>
      </c>
    </row>
    <row r="227" spans="1:7" ht="63.75" x14ac:dyDescent="0.25">
      <c r="A227" s="4" t="s">
        <v>13</v>
      </c>
      <c r="B227" s="3" t="s">
        <v>174</v>
      </c>
      <c r="C227" s="17" t="s">
        <v>351</v>
      </c>
      <c r="D227" s="17" t="s">
        <v>356</v>
      </c>
      <c r="E227" s="3" t="s">
        <v>14</v>
      </c>
      <c r="F227" s="3" t="s">
        <v>8</v>
      </c>
      <c r="G227" s="7">
        <f>4913131.35/1000</f>
        <v>4913.1313499999997</v>
      </c>
    </row>
    <row r="228" spans="1:7" ht="76.5" x14ac:dyDescent="0.25">
      <c r="A228" s="4" t="s">
        <v>15</v>
      </c>
      <c r="B228" s="3" t="s">
        <v>174</v>
      </c>
      <c r="C228" s="17" t="s">
        <v>351</v>
      </c>
      <c r="D228" s="17" t="s">
        <v>356</v>
      </c>
      <c r="E228" s="3" t="s">
        <v>16</v>
      </c>
      <c r="F228" s="3" t="s">
        <v>8</v>
      </c>
      <c r="G228" s="7">
        <f>4796658.22/1000</f>
        <v>4796.6582199999993</v>
      </c>
    </row>
    <row r="229" spans="1:7" ht="38.25" x14ac:dyDescent="0.25">
      <c r="A229" s="4" t="s">
        <v>175</v>
      </c>
      <c r="B229" s="3" t="s">
        <v>174</v>
      </c>
      <c r="C229" s="17" t="s">
        <v>351</v>
      </c>
      <c r="D229" s="17" t="s">
        <v>356</v>
      </c>
      <c r="E229" s="3" t="s">
        <v>176</v>
      </c>
      <c r="F229" s="3" t="s">
        <v>8</v>
      </c>
      <c r="G229" s="7">
        <f>4796658.22/1000</f>
        <v>4796.6582199999993</v>
      </c>
    </row>
    <row r="230" spans="1:7" ht="89.25" x14ac:dyDescent="0.25">
      <c r="A230" s="4" t="s">
        <v>19</v>
      </c>
      <c r="B230" s="3" t="s">
        <v>174</v>
      </c>
      <c r="C230" s="17" t="s">
        <v>351</v>
      </c>
      <c r="D230" s="17" t="s">
        <v>356</v>
      </c>
      <c r="E230" s="3" t="s">
        <v>176</v>
      </c>
      <c r="F230" s="3" t="s">
        <v>20</v>
      </c>
      <c r="G230" s="7">
        <f>3893683.22/1000</f>
        <v>3893.6832200000003</v>
      </c>
    </row>
    <row r="231" spans="1:7" ht="38.25" x14ac:dyDescent="0.25">
      <c r="A231" s="4" t="s">
        <v>31</v>
      </c>
      <c r="B231" s="3" t="s">
        <v>174</v>
      </c>
      <c r="C231" s="17" t="s">
        <v>351</v>
      </c>
      <c r="D231" s="17" t="s">
        <v>356</v>
      </c>
      <c r="E231" s="3" t="s">
        <v>176</v>
      </c>
      <c r="F231" s="3" t="s">
        <v>32</v>
      </c>
      <c r="G231" s="7">
        <f>898740/1000</f>
        <v>898.74</v>
      </c>
    </row>
    <row r="232" spans="1:7" ht="25.5" x14ac:dyDescent="0.25">
      <c r="A232" s="4" t="s">
        <v>35</v>
      </c>
      <c r="B232" s="3" t="s">
        <v>174</v>
      </c>
      <c r="C232" s="17" t="s">
        <v>351</v>
      </c>
      <c r="D232" s="17" t="s">
        <v>356</v>
      </c>
      <c r="E232" s="3" t="s">
        <v>176</v>
      </c>
      <c r="F232" s="3" t="s">
        <v>36</v>
      </c>
      <c r="G232" s="7">
        <f>4235/1000</f>
        <v>4.2350000000000003</v>
      </c>
    </row>
    <row r="233" spans="1:7" ht="25.5" x14ac:dyDescent="0.25">
      <c r="A233" s="4" t="s">
        <v>62</v>
      </c>
      <c r="B233" s="3" t="s">
        <v>174</v>
      </c>
      <c r="C233" s="17" t="s">
        <v>351</v>
      </c>
      <c r="D233" s="17" t="s">
        <v>356</v>
      </c>
      <c r="E233" s="3" t="s">
        <v>63</v>
      </c>
      <c r="F233" s="3" t="s">
        <v>8</v>
      </c>
      <c r="G233" s="7">
        <f>31473.13/1000</f>
        <v>31.473130000000001</v>
      </c>
    </row>
    <row r="234" spans="1:7" ht="51" x14ac:dyDescent="0.25">
      <c r="A234" s="4" t="s">
        <v>177</v>
      </c>
      <c r="B234" s="3" t="s">
        <v>174</v>
      </c>
      <c r="C234" s="17" t="s">
        <v>351</v>
      </c>
      <c r="D234" s="17" t="s">
        <v>356</v>
      </c>
      <c r="E234" s="3" t="s">
        <v>178</v>
      </c>
      <c r="F234" s="3" t="s">
        <v>8</v>
      </c>
      <c r="G234" s="7">
        <f>24473.13/1000</f>
        <v>24.473130000000001</v>
      </c>
    </row>
    <row r="235" spans="1:7" ht="38.25" x14ac:dyDescent="0.25">
      <c r="A235" s="4" t="s">
        <v>31</v>
      </c>
      <c r="B235" s="3" t="s">
        <v>174</v>
      </c>
      <c r="C235" s="17" t="s">
        <v>351</v>
      </c>
      <c r="D235" s="17" t="s">
        <v>356</v>
      </c>
      <c r="E235" s="3" t="s">
        <v>178</v>
      </c>
      <c r="F235" s="3" t="s">
        <v>32</v>
      </c>
      <c r="G235" s="7">
        <f>24473.13/1000</f>
        <v>24.473130000000001</v>
      </c>
    </row>
    <row r="236" spans="1:7" ht="25.5" x14ac:dyDescent="0.25">
      <c r="A236" s="4" t="s">
        <v>66</v>
      </c>
      <c r="B236" s="3" t="s">
        <v>174</v>
      </c>
      <c r="C236" s="17" t="s">
        <v>351</v>
      </c>
      <c r="D236" s="17" t="s">
        <v>356</v>
      </c>
      <c r="E236" s="3" t="s">
        <v>67</v>
      </c>
      <c r="F236" s="3" t="s">
        <v>8</v>
      </c>
      <c r="G236" s="7">
        <f>7000/1000</f>
        <v>7</v>
      </c>
    </row>
    <row r="237" spans="1:7" ht="38.25" x14ac:dyDescent="0.25">
      <c r="A237" s="4" t="s">
        <v>31</v>
      </c>
      <c r="B237" s="3" t="s">
        <v>174</v>
      </c>
      <c r="C237" s="17" t="s">
        <v>351</v>
      </c>
      <c r="D237" s="17" t="s">
        <v>356</v>
      </c>
      <c r="E237" s="3" t="s">
        <v>67</v>
      </c>
      <c r="F237" s="3" t="s">
        <v>32</v>
      </c>
      <c r="G237" s="7">
        <f>7000/1000</f>
        <v>7</v>
      </c>
    </row>
    <row r="238" spans="1:7" ht="25.5" x14ac:dyDescent="0.25">
      <c r="A238" s="4" t="s">
        <v>21</v>
      </c>
      <c r="B238" s="3" t="s">
        <v>174</v>
      </c>
      <c r="C238" s="17" t="s">
        <v>351</v>
      </c>
      <c r="D238" s="17" t="s">
        <v>356</v>
      </c>
      <c r="E238" s="3" t="s">
        <v>22</v>
      </c>
      <c r="F238" s="3" t="s">
        <v>8</v>
      </c>
      <c r="G238" s="7">
        <f>85000/1000</f>
        <v>85</v>
      </c>
    </row>
    <row r="239" spans="1:7" ht="25.5" x14ac:dyDescent="0.25">
      <c r="A239" s="4" t="s">
        <v>23</v>
      </c>
      <c r="B239" s="3" t="s">
        <v>174</v>
      </c>
      <c r="C239" s="17" t="s">
        <v>351</v>
      </c>
      <c r="D239" s="17" t="s">
        <v>356</v>
      </c>
      <c r="E239" s="3" t="s">
        <v>24</v>
      </c>
      <c r="F239" s="3" t="s">
        <v>8</v>
      </c>
      <c r="G239" s="7">
        <f>85000/1000</f>
        <v>85</v>
      </c>
    </row>
    <row r="240" spans="1:7" ht="25.5" x14ac:dyDescent="0.25">
      <c r="A240" s="4" t="s">
        <v>25</v>
      </c>
      <c r="B240" s="3" t="s">
        <v>174</v>
      </c>
      <c r="C240" s="17" t="s">
        <v>351</v>
      </c>
      <c r="D240" s="17" t="s">
        <v>356</v>
      </c>
      <c r="E240" s="3" t="s">
        <v>24</v>
      </c>
      <c r="F240" s="3" t="s">
        <v>8</v>
      </c>
      <c r="G240" s="7">
        <f>52000/1000</f>
        <v>52</v>
      </c>
    </row>
    <row r="241" spans="1:7" ht="89.25" x14ac:dyDescent="0.25">
      <c r="A241" s="4" t="s">
        <v>19</v>
      </c>
      <c r="B241" s="3" t="s">
        <v>174</v>
      </c>
      <c r="C241" s="17" t="s">
        <v>351</v>
      </c>
      <c r="D241" s="17" t="s">
        <v>356</v>
      </c>
      <c r="E241" s="3" t="s">
        <v>24</v>
      </c>
      <c r="F241" s="3" t="s">
        <v>20</v>
      </c>
      <c r="G241" s="7">
        <f>52000/1000</f>
        <v>52</v>
      </c>
    </row>
    <row r="242" spans="1:7" ht="63.75" x14ac:dyDescent="0.25">
      <c r="A242" s="4" t="s">
        <v>26</v>
      </c>
      <c r="B242" s="3" t="s">
        <v>174</v>
      </c>
      <c r="C242" s="17" t="s">
        <v>351</v>
      </c>
      <c r="D242" s="17" t="s">
        <v>356</v>
      </c>
      <c r="E242" s="3" t="s">
        <v>27</v>
      </c>
      <c r="F242" s="3" t="s">
        <v>8</v>
      </c>
      <c r="G242" s="7">
        <f>33000/1000</f>
        <v>33</v>
      </c>
    </row>
    <row r="243" spans="1:7" ht="89.25" x14ac:dyDescent="0.25">
      <c r="A243" s="4" t="s">
        <v>19</v>
      </c>
      <c r="B243" s="3" t="s">
        <v>174</v>
      </c>
      <c r="C243" s="17" t="s">
        <v>351</v>
      </c>
      <c r="D243" s="17" t="s">
        <v>356</v>
      </c>
      <c r="E243" s="3" t="s">
        <v>27</v>
      </c>
      <c r="F243" s="3" t="s">
        <v>20</v>
      </c>
      <c r="G243" s="7">
        <f>33000/1000</f>
        <v>33</v>
      </c>
    </row>
    <row r="244" spans="1:7" ht="38.25" x14ac:dyDescent="0.25">
      <c r="A244" s="4" t="s">
        <v>87</v>
      </c>
      <c r="B244" s="3" t="s">
        <v>174</v>
      </c>
      <c r="C244" s="17" t="s">
        <v>357</v>
      </c>
      <c r="D244" s="17" t="s">
        <v>353</v>
      </c>
      <c r="E244" s="3" t="s">
        <v>7</v>
      </c>
      <c r="F244" s="3" t="s">
        <v>8</v>
      </c>
      <c r="G244" s="7">
        <f>2042510.63/1000</f>
        <v>2042.51063</v>
      </c>
    </row>
    <row r="245" spans="1:7" ht="51" x14ac:dyDescent="0.25">
      <c r="A245" s="4" t="s">
        <v>88</v>
      </c>
      <c r="B245" s="3" t="s">
        <v>174</v>
      </c>
      <c r="C245" s="17" t="s">
        <v>357</v>
      </c>
      <c r="D245" s="17" t="s">
        <v>358</v>
      </c>
      <c r="E245" s="3" t="s">
        <v>7</v>
      </c>
      <c r="F245" s="3" t="s">
        <v>8</v>
      </c>
      <c r="G245" s="7">
        <f>2042510.63/1000</f>
        <v>2042.51063</v>
      </c>
    </row>
    <row r="246" spans="1:7" ht="114.75" x14ac:dyDescent="0.25">
      <c r="A246" s="4" t="s">
        <v>41</v>
      </c>
      <c r="B246" s="3" t="s">
        <v>174</v>
      </c>
      <c r="C246" s="17" t="s">
        <v>357</v>
      </c>
      <c r="D246" s="17" t="s">
        <v>358</v>
      </c>
      <c r="E246" s="3" t="s">
        <v>42</v>
      </c>
      <c r="F246" s="3" t="s">
        <v>8</v>
      </c>
      <c r="G246" s="7">
        <f>2042510.63/1000</f>
        <v>2042.51063</v>
      </c>
    </row>
    <row r="247" spans="1:7" ht="51" x14ac:dyDescent="0.25">
      <c r="A247" s="4" t="s">
        <v>91</v>
      </c>
      <c r="B247" s="3" t="s">
        <v>174</v>
      </c>
      <c r="C247" s="17" t="s">
        <v>357</v>
      </c>
      <c r="D247" s="17" t="s">
        <v>358</v>
      </c>
      <c r="E247" s="3" t="s">
        <v>92</v>
      </c>
      <c r="F247" s="3" t="s">
        <v>8</v>
      </c>
      <c r="G247" s="7">
        <f>502658.48/1000</f>
        <v>502.65848</v>
      </c>
    </row>
    <row r="248" spans="1:7" ht="38.25" x14ac:dyDescent="0.25">
      <c r="A248" s="4" t="s">
        <v>31</v>
      </c>
      <c r="B248" s="3" t="s">
        <v>174</v>
      </c>
      <c r="C248" s="17" t="s">
        <v>357</v>
      </c>
      <c r="D248" s="17" t="s">
        <v>358</v>
      </c>
      <c r="E248" s="3" t="s">
        <v>92</v>
      </c>
      <c r="F248" s="3" t="s">
        <v>32</v>
      </c>
      <c r="G248" s="7">
        <f>502658.48/1000</f>
        <v>502.65848</v>
      </c>
    </row>
    <row r="249" spans="1:7" ht="25.5" x14ac:dyDescent="0.25">
      <c r="A249" s="4" t="s">
        <v>45</v>
      </c>
      <c r="B249" s="3" t="s">
        <v>174</v>
      </c>
      <c r="C249" s="17" t="s">
        <v>357</v>
      </c>
      <c r="D249" s="17" t="s">
        <v>358</v>
      </c>
      <c r="E249" s="3" t="s">
        <v>93</v>
      </c>
      <c r="F249" s="3" t="s">
        <v>8</v>
      </c>
      <c r="G249" s="7">
        <f>1539852.15/1000</f>
        <v>1539.8521499999999</v>
      </c>
    </row>
    <row r="250" spans="1:7" ht="38.25" x14ac:dyDescent="0.25">
      <c r="A250" s="4" t="s">
        <v>31</v>
      </c>
      <c r="B250" s="3" t="s">
        <v>174</v>
      </c>
      <c r="C250" s="17" t="s">
        <v>357</v>
      </c>
      <c r="D250" s="17" t="s">
        <v>358</v>
      </c>
      <c r="E250" s="3" t="s">
        <v>93</v>
      </c>
      <c r="F250" s="3" t="s">
        <v>32</v>
      </c>
      <c r="G250" s="7">
        <f>1539852.15/1000</f>
        <v>1539.8521499999999</v>
      </c>
    </row>
    <row r="251" spans="1:7" x14ac:dyDescent="0.25">
      <c r="A251" s="4" t="s">
        <v>104</v>
      </c>
      <c r="B251" s="3" t="s">
        <v>174</v>
      </c>
      <c r="C251" s="17" t="s">
        <v>354</v>
      </c>
      <c r="D251" s="17" t="s">
        <v>353</v>
      </c>
      <c r="E251" s="3" t="s">
        <v>7</v>
      </c>
      <c r="F251" s="3" t="s">
        <v>8</v>
      </c>
      <c r="G251" s="7">
        <f>16336947.85/1000</f>
        <v>16336.94785</v>
      </c>
    </row>
    <row r="252" spans="1:7" x14ac:dyDescent="0.25">
      <c r="A252" s="4" t="s">
        <v>105</v>
      </c>
      <c r="B252" s="3" t="s">
        <v>174</v>
      </c>
      <c r="C252" s="17" t="s">
        <v>354</v>
      </c>
      <c r="D252" s="17" t="s">
        <v>351</v>
      </c>
      <c r="E252" s="3" t="s">
        <v>7</v>
      </c>
      <c r="F252" s="3" t="s">
        <v>8</v>
      </c>
      <c r="G252" s="7">
        <f>756912.13/1000</f>
        <v>756.91213000000005</v>
      </c>
    </row>
    <row r="253" spans="1:7" ht="76.5" x14ac:dyDescent="0.25">
      <c r="A253" s="4" t="s">
        <v>107</v>
      </c>
      <c r="B253" s="3" t="s">
        <v>174</v>
      </c>
      <c r="C253" s="17" t="s">
        <v>354</v>
      </c>
      <c r="D253" s="17" t="s">
        <v>351</v>
      </c>
      <c r="E253" s="3" t="s">
        <v>108</v>
      </c>
      <c r="F253" s="3" t="s">
        <v>8</v>
      </c>
      <c r="G253" s="7">
        <f>756912.13/1000</f>
        <v>756.91213000000005</v>
      </c>
    </row>
    <row r="254" spans="1:7" ht="38.25" x14ac:dyDescent="0.25">
      <c r="A254" s="4" t="s">
        <v>109</v>
      </c>
      <c r="B254" s="3" t="s">
        <v>174</v>
      </c>
      <c r="C254" s="17" t="s">
        <v>354</v>
      </c>
      <c r="D254" s="17" t="s">
        <v>351</v>
      </c>
      <c r="E254" s="3" t="s">
        <v>110</v>
      </c>
      <c r="F254" s="3" t="s">
        <v>8</v>
      </c>
      <c r="G254" s="7">
        <f>756912.13/1000</f>
        <v>756.91213000000005</v>
      </c>
    </row>
    <row r="255" spans="1:7" ht="89.25" x14ac:dyDescent="0.25">
      <c r="A255" s="4" t="s">
        <v>19</v>
      </c>
      <c r="B255" s="3" t="s">
        <v>174</v>
      </c>
      <c r="C255" s="17" t="s">
        <v>354</v>
      </c>
      <c r="D255" s="17" t="s">
        <v>351</v>
      </c>
      <c r="E255" s="3" t="s">
        <v>110</v>
      </c>
      <c r="F255" s="3" t="s">
        <v>20</v>
      </c>
      <c r="G255" s="7">
        <f>756912.13/1000</f>
        <v>756.91213000000005</v>
      </c>
    </row>
    <row r="256" spans="1:7" x14ac:dyDescent="0.25">
      <c r="A256" s="4" t="s">
        <v>179</v>
      </c>
      <c r="B256" s="3" t="s">
        <v>174</v>
      </c>
      <c r="C256" s="17" t="s">
        <v>354</v>
      </c>
      <c r="D256" s="17" t="s">
        <v>363</v>
      </c>
      <c r="E256" s="3" t="s">
        <v>7</v>
      </c>
      <c r="F256" s="3" t="s">
        <v>8</v>
      </c>
      <c r="G256" s="7">
        <f>269370/1000</f>
        <v>269.37</v>
      </c>
    </row>
    <row r="257" spans="1:7" ht="114.75" x14ac:dyDescent="0.25">
      <c r="A257" s="4" t="s">
        <v>41</v>
      </c>
      <c r="B257" s="3" t="s">
        <v>174</v>
      </c>
      <c r="C257" s="17" t="s">
        <v>354</v>
      </c>
      <c r="D257" s="17" t="s">
        <v>363</v>
      </c>
      <c r="E257" s="3" t="s">
        <v>42</v>
      </c>
      <c r="F257" s="3" t="s">
        <v>8</v>
      </c>
      <c r="G257" s="7">
        <f>150150/1000</f>
        <v>150.15</v>
      </c>
    </row>
    <row r="258" spans="1:7" ht="76.5" x14ac:dyDescent="0.25">
      <c r="A258" s="4" t="s">
        <v>180</v>
      </c>
      <c r="B258" s="3" t="s">
        <v>174</v>
      </c>
      <c r="C258" s="17" t="s">
        <v>354</v>
      </c>
      <c r="D258" s="17" t="s">
        <v>363</v>
      </c>
      <c r="E258" s="3" t="s">
        <v>181</v>
      </c>
      <c r="F258" s="3" t="s">
        <v>8</v>
      </c>
      <c r="G258" s="7">
        <f>150150/1000</f>
        <v>150.15</v>
      </c>
    </row>
    <row r="259" spans="1:7" ht="38.25" x14ac:dyDescent="0.25">
      <c r="A259" s="4" t="s">
        <v>31</v>
      </c>
      <c r="B259" s="3" t="s">
        <v>174</v>
      </c>
      <c r="C259" s="17" t="s">
        <v>354</v>
      </c>
      <c r="D259" s="17" t="s">
        <v>363</v>
      </c>
      <c r="E259" s="3" t="s">
        <v>181</v>
      </c>
      <c r="F259" s="3" t="s">
        <v>32</v>
      </c>
      <c r="G259" s="7">
        <f>150150/1000</f>
        <v>150.15</v>
      </c>
    </row>
    <row r="260" spans="1:7" ht="63.75" x14ac:dyDescent="0.25">
      <c r="A260" s="4" t="s">
        <v>13</v>
      </c>
      <c r="B260" s="3" t="s">
        <v>174</v>
      </c>
      <c r="C260" s="17" t="s">
        <v>354</v>
      </c>
      <c r="D260" s="17" t="s">
        <v>363</v>
      </c>
      <c r="E260" s="3" t="s">
        <v>14</v>
      </c>
      <c r="F260" s="3" t="s">
        <v>8</v>
      </c>
      <c r="G260" s="7">
        <f>119220/1000</f>
        <v>119.22</v>
      </c>
    </row>
    <row r="261" spans="1:7" ht="76.5" x14ac:dyDescent="0.25">
      <c r="A261" s="4" t="s">
        <v>15</v>
      </c>
      <c r="B261" s="3" t="s">
        <v>174</v>
      </c>
      <c r="C261" s="17" t="s">
        <v>354</v>
      </c>
      <c r="D261" s="17" t="s">
        <v>363</v>
      </c>
      <c r="E261" s="3" t="s">
        <v>16</v>
      </c>
      <c r="F261" s="3" t="s">
        <v>8</v>
      </c>
      <c r="G261" s="7">
        <f>119220/1000</f>
        <v>119.22</v>
      </c>
    </row>
    <row r="262" spans="1:7" ht="38.25" x14ac:dyDescent="0.25">
      <c r="A262" s="4" t="s">
        <v>175</v>
      </c>
      <c r="B262" s="3" t="s">
        <v>174</v>
      </c>
      <c r="C262" s="17" t="s">
        <v>354</v>
      </c>
      <c r="D262" s="17" t="s">
        <v>363</v>
      </c>
      <c r="E262" s="3" t="s">
        <v>176</v>
      </c>
      <c r="F262" s="3" t="s">
        <v>8</v>
      </c>
      <c r="G262" s="7">
        <f>119220/1000</f>
        <v>119.22</v>
      </c>
    </row>
    <row r="263" spans="1:7" ht="38.25" x14ac:dyDescent="0.25">
      <c r="A263" s="4" t="s">
        <v>31</v>
      </c>
      <c r="B263" s="3" t="s">
        <v>174</v>
      </c>
      <c r="C263" s="17" t="s">
        <v>354</v>
      </c>
      <c r="D263" s="17" t="s">
        <v>363</v>
      </c>
      <c r="E263" s="3" t="s">
        <v>176</v>
      </c>
      <c r="F263" s="3" t="s">
        <v>32</v>
      </c>
      <c r="G263" s="7">
        <f>119220/1000</f>
        <v>119.22</v>
      </c>
    </row>
    <row r="264" spans="1:7" ht="25.5" x14ac:dyDescent="0.25">
      <c r="A264" s="4" t="s">
        <v>117</v>
      </c>
      <c r="B264" s="3" t="s">
        <v>174</v>
      </c>
      <c r="C264" s="17" t="s">
        <v>354</v>
      </c>
      <c r="D264" s="17" t="s">
        <v>360</v>
      </c>
      <c r="E264" s="3" t="s">
        <v>7</v>
      </c>
      <c r="F264" s="3" t="s">
        <v>8</v>
      </c>
      <c r="G264" s="7">
        <f>15310665.72/1000</f>
        <v>15310.665720000001</v>
      </c>
    </row>
    <row r="265" spans="1:7" ht="63.75" x14ac:dyDescent="0.25">
      <c r="A265" s="4" t="s">
        <v>13</v>
      </c>
      <c r="B265" s="3" t="s">
        <v>174</v>
      </c>
      <c r="C265" s="17" t="s">
        <v>354</v>
      </c>
      <c r="D265" s="17" t="s">
        <v>360</v>
      </c>
      <c r="E265" s="3" t="s">
        <v>14</v>
      </c>
      <c r="F265" s="3" t="s">
        <v>8</v>
      </c>
      <c r="G265" s="7">
        <f>15310665.72/1000</f>
        <v>15310.665720000001</v>
      </c>
    </row>
    <row r="266" spans="1:7" ht="25.5" x14ac:dyDescent="0.25">
      <c r="A266" s="4" t="s">
        <v>118</v>
      </c>
      <c r="B266" s="3" t="s">
        <v>174</v>
      </c>
      <c r="C266" s="17" t="s">
        <v>354</v>
      </c>
      <c r="D266" s="17" t="s">
        <v>360</v>
      </c>
      <c r="E266" s="3" t="s">
        <v>119</v>
      </c>
      <c r="F266" s="3" t="s">
        <v>8</v>
      </c>
      <c r="G266" s="7">
        <f>13512229.05/1000</f>
        <v>13512.22905</v>
      </c>
    </row>
    <row r="267" spans="1:7" ht="38.25" x14ac:dyDescent="0.25">
      <c r="A267" s="4" t="s">
        <v>31</v>
      </c>
      <c r="B267" s="3" t="s">
        <v>174</v>
      </c>
      <c r="C267" s="17" t="s">
        <v>354</v>
      </c>
      <c r="D267" s="17" t="s">
        <v>360</v>
      </c>
      <c r="E267" s="3" t="s">
        <v>119</v>
      </c>
      <c r="F267" s="3" t="s">
        <v>32</v>
      </c>
      <c r="G267" s="7">
        <f>13512229.05/1000</f>
        <v>13512.22905</v>
      </c>
    </row>
    <row r="268" spans="1:7" ht="25.5" x14ac:dyDescent="0.25">
      <c r="A268" s="4" t="s">
        <v>21</v>
      </c>
      <c r="B268" s="3" t="s">
        <v>174</v>
      </c>
      <c r="C268" s="17" t="s">
        <v>354</v>
      </c>
      <c r="D268" s="17" t="s">
        <v>360</v>
      </c>
      <c r="E268" s="3" t="s">
        <v>22</v>
      </c>
      <c r="F268" s="3" t="s">
        <v>8</v>
      </c>
      <c r="G268" s="7">
        <f>1798436.67/1000</f>
        <v>1798.4366699999998</v>
      </c>
    </row>
    <row r="269" spans="1:7" ht="102" x14ac:dyDescent="0.25">
      <c r="A269" s="4" t="s">
        <v>120</v>
      </c>
      <c r="B269" s="3" t="s">
        <v>174</v>
      </c>
      <c r="C269" s="17" t="s">
        <v>354</v>
      </c>
      <c r="D269" s="17" t="s">
        <v>360</v>
      </c>
      <c r="E269" s="3" t="s">
        <v>121</v>
      </c>
      <c r="F269" s="3" t="s">
        <v>8</v>
      </c>
      <c r="G269" s="7">
        <f>1764247.79/1000</f>
        <v>1764.2477900000001</v>
      </c>
    </row>
    <row r="270" spans="1:7" ht="38.25" x14ac:dyDescent="0.25">
      <c r="A270" s="4" t="s">
        <v>31</v>
      </c>
      <c r="B270" s="3" t="s">
        <v>174</v>
      </c>
      <c r="C270" s="17" t="s">
        <v>354</v>
      </c>
      <c r="D270" s="17" t="s">
        <v>360</v>
      </c>
      <c r="E270" s="3" t="s">
        <v>121</v>
      </c>
      <c r="F270" s="3" t="s">
        <v>32</v>
      </c>
      <c r="G270" s="7">
        <f>1764247.79/1000</f>
        <v>1764.2477900000001</v>
      </c>
    </row>
    <row r="271" spans="1:7" ht="102" x14ac:dyDescent="0.25">
      <c r="A271" s="4" t="s">
        <v>120</v>
      </c>
      <c r="B271" s="3" t="s">
        <v>174</v>
      </c>
      <c r="C271" s="17" t="s">
        <v>354</v>
      </c>
      <c r="D271" s="17" t="s">
        <v>360</v>
      </c>
      <c r="E271" s="3" t="s">
        <v>122</v>
      </c>
      <c r="F271" s="3" t="s">
        <v>8</v>
      </c>
      <c r="G271" s="7">
        <f>34188.88/1000</f>
        <v>34.188879999999997</v>
      </c>
    </row>
    <row r="272" spans="1:7" ht="38.25" x14ac:dyDescent="0.25">
      <c r="A272" s="4" t="s">
        <v>31</v>
      </c>
      <c r="B272" s="3" t="s">
        <v>174</v>
      </c>
      <c r="C272" s="17" t="s">
        <v>354</v>
      </c>
      <c r="D272" s="17" t="s">
        <v>360</v>
      </c>
      <c r="E272" s="3" t="s">
        <v>122</v>
      </c>
      <c r="F272" s="3" t="s">
        <v>32</v>
      </c>
      <c r="G272" s="7">
        <f>34188.88/1000</f>
        <v>34.188879999999997</v>
      </c>
    </row>
    <row r="273" spans="1:7" ht="25.5" x14ac:dyDescent="0.25">
      <c r="A273" s="4" t="s">
        <v>131</v>
      </c>
      <c r="B273" s="3" t="s">
        <v>174</v>
      </c>
      <c r="C273" s="17" t="s">
        <v>355</v>
      </c>
      <c r="D273" s="17" t="s">
        <v>353</v>
      </c>
      <c r="E273" s="3" t="s">
        <v>7</v>
      </c>
      <c r="F273" s="3" t="s">
        <v>8</v>
      </c>
      <c r="G273" s="7">
        <f>4800056.24/1000</f>
        <v>4800.0562399999999</v>
      </c>
    </row>
    <row r="274" spans="1:7" x14ac:dyDescent="0.25">
      <c r="A274" s="4" t="s">
        <v>137</v>
      </c>
      <c r="B274" s="3" t="s">
        <v>174</v>
      </c>
      <c r="C274" s="17" t="s">
        <v>355</v>
      </c>
      <c r="D274" s="17" t="s">
        <v>352</v>
      </c>
      <c r="E274" s="3" t="s">
        <v>7</v>
      </c>
      <c r="F274" s="3" t="s">
        <v>8</v>
      </c>
      <c r="G274" s="7">
        <f>171500/1000</f>
        <v>171.5</v>
      </c>
    </row>
    <row r="275" spans="1:7" ht="63.75" x14ac:dyDescent="0.25">
      <c r="A275" s="4" t="s">
        <v>13</v>
      </c>
      <c r="B275" s="3" t="s">
        <v>174</v>
      </c>
      <c r="C275" s="17" t="s">
        <v>355</v>
      </c>
      <c r="D275" s="17" t="s">
        <v>352</v>
      </c>
      <c r="E275" s="3" t="s">
        <v>14</v>
      </c>
      <c r="F275" s="3" t="s">
        <v>8</v>
      </c>
      <c r="G275" s="7">
        <f>171500/1000</f>
        <v>171.5</v>
      </c>
    </row>
    <row r="276" spans="1:7" ht="76.5" x14ac:dyDescent="0.25">
      <c r="A276" s="4" t="s">
        <v>15</v>
      </c>
      <c r="B276" s="3" t="s">
        <v>174</v>
      </c>
      <c r="C276" s="17" t="s">
        <v>355</v>
      </c>
      <c r="D276" s="17" t="s">
        <v>352</v>
      </c>
      <c r="E276" s="3" t="s">
        <v>16</v>
      </c>
      <c r="F276" s="3" t="s">
        <v>8</v>
      </c>
      <c r="G276" s="7">
        <f>171500/1000</f>
        <v>171.5</v>
      </c>
    </row>
    <row r="277" spans="1:7" ht="38.25" x14ac:dyDescent="0.25">
      <c r="A277" s="4" t="s">
        <v>175</v>
      </c>
      <c r="B277" s="3" t="s">
        <v>174</v>
      </c>
      <c r="C277" s="17" t="s">
        <v>355</v>
      </c>
      <c r="D277" s="17" t="s">
        <v>352</v>
      </c>
      <c r="E277" s="3" t="s">
        <v>176</v>
      </c>
      <c r="F277" s="3" t="s">
        <v>8</v>
      </c>
      <c r="G277" s="7">
        <f>171500/1000</f>
        <v>171.5</v>
      </c>
    </row>
    <row r="278" spans="1:7" ht="38.25" x14ac:dyDescent="0.25">
      <c r="A278" s="4" t="s">
        <v>31</v>
      </c>
      <c r="B278" s="3" t="s">
        <v>174</v>
      </c>
      <c r="C278" s="17" t="s">
        <v>355</v>
      </c>
      <c r="D278" s="17" t="s">
        <v>352</v>
      </c>
      <c r="E278" s="3" t="s">
        <v>176</v>
      </c>
      <c r="F278" s="3" t="s">
        <v>32</v>
      </c>
      <c r="G278" s="7">
        <f>171500/1000</f>
        <v>171.5</v>
      </c>
    </row>
    <row r="279" spans="1:7" x14ac:dyDescent="0.25">
      <c r="A279" s="4" t="s">
        <v>146</v>
      </c>
      <c r="B279" s="3" t="s">
        <v>174</v>
      </c>
      <c r="C279" s="17" t="s">
        <v>355</v>
      </c>
      <c r="D279" s="17" t="s">
        <v>357</v>
      </c>
      <c r="E279" s="3" t="s">
        <v>7</v>
      </c>
      <c r="F279" s="3" t="s">
        <v>8</v>
      </c>
      <c r="G279" s="7">
        <f>4628556.24/1000</f>
        <v>4628.5562399999999</v>
      </c>
    </row>
    <row r="280" spans="1:7" ht="89.25" x14ac:dyDescent="0.25">
      <c r="A280" s="4" t="s">
        <v>147</v>
      </c>
      <c r="B280" s="3" t="s">
        <v>174</v>
      </c>
      <c r="C280" s="17" t="s">
        <v>355</v>
      </c>
      <c r="D280" s="17" t="s">
        <v>357</v>
      </c>
      <c r="E280" s="3" t="s">
        <v>148</v>
      </c>
      <c r="F280" s="3" t="s">
        <v>8</v>
      </c>
      <c r="G280" s="7">
        <f>3410000/1000</f>
        <v>3410</v>
      </c>
    </row>
    <row r="281" spans="1:7" ht="63.75" x14ac:dyDescent="0.25">
      <c r="A281" s="4" t="s">
        <v>182</v>
      </c>
      <c r="B281" s="3" t="s">
        <v>174</v>
      </c>
      <c r="C281" s="17" t="s">
        <v>355</v>
      </c>
      <c r="D281" s="17" t="s">
        <v>357</v>
      </c>
      <c r="E281" s="3" t="s">
        <v>183</v>
      </c>
      <c r="F281" s="3" t="s">
        <v>8</v>
      </c>
      <c r="G281" s="7">
        <f>3410000/1000</f>
        <v>3410</v>
      </c>
    </row>
    <row r="282" spans="1:7" ht="38.25" x14ac:dyDescent="0.25">
      <c r="A282" s="4" t="s">
        <v>31</v>
      </c>
      <c r="B282" s="3" t="s">
        <v>174</v>
      </c>
      <c r="C282" s="17" t="s">
        <v>355</v>
      </c>
      <c r="D282" s="17" t="s">
        <v>357</v>
      </c>
      <c r="E282" s="3" t="s">
        <v>183</v>
      </c>
      <c r="F282" s="3" t="s">
        <v>32</v>
      </c>
      <c r="G282" s="7">
        <f>3410000/1000</f>
        <v>3410</v>
      </c>
    </row>
    <row r="283" spans="1:7" ht="114.75" x14ac:dyDescent="0.25">
      <c r="A283" s="4" t="s">
        <v>41</v>
      </c>
      <c r="B283" s="3" t="s">
        <v>174</v>
      </c>
      <c r="C283" s="17" t="s">
        <v>355</v>
      </c>
      <c r="D283" s="17" t="s">
        <v>357</v>
      </c>
      <c r="E283" s="3" t="s">
        <v>42</v>
      </c>
      <c r="F283" s="3" t="s">
        <v>8</v>
      </c>
      <c r="G283" s="7">
        <f>50000/1000</f>
        <v>50</v>
      </c>
    </row>
    <row r="284" spans="1:7" ht="25.5" x14ac:dyDescent="0.25">
      <c r="A284" s="4" t="s">
        <v>45</v>
      </c>
      <c r="B284" s="3" t="s">
        <v>174</v>
      </c>
      <c r="C284" s="17" t="s">
        <v>355</v>
      </c>
      <c r="D284" s="17" t="s">
        <v>357</v>
      </c>
      <c r="E284" s="3" t="s">
        <v>90</v>
      </c>
      <c r="F284" s="3" t="s">
        <v>8</v>
      </c>
      <c r="G284" s="7">
        <f>50000/1000</f>
        <v>50</v>
      </c>
    </row>
    <row r="285" spans="1:7" ht="38.25" x14ac:dyDescent="0.25">
      <c r="A285" s="4" t="s">
        <v>31</v>
      </c>
      <c r="B285" s="3" t="s">
        <v>174</v>
      </c>
      <c r="C285" s="17" t="s">
        <v>355</v>
      </c>
      <c r="D285" s="17" t="s">
        <v>357</v>
      </c>
      <c r="E285" s="3" t="s">
        <v>90</v>
      </c>
      <c r="F285" s="3" t="s">
        <v>32</v>
      </c>
      <c r="G285" s="7">
        <f>50000/1000</f>
        <v>50</v>
      </c>
    </row>
    <row r="286" spans="1:7" ht="63.75" x14ac:dyDescent="0.25">
      <c r="A286" s="4" t="s">
        <v>13</v>
      </c>
      <c r="B286" s="3" t="s">
        <v>174</v>
      </c>
      <c r="C286" s="17" t="s">
        <v>355</v>
      </c>
      <c r="D286" s="17" t="s">
        <v>357</v>
      </c>
      <c r="E286" s="3" t="s">
        <v>14</v>
      </c>
      <c r="F286" s="3" t="s">
        <v>8</v>
      </c>
      <c r="G286" s="7">
        <f>1168556.24/1000</f>
        <v>1168.5562399999999</v>
      </c>
    </row>
    <row r="287" spans="1:7" ht="76.5" x14ac:dyDescent="0.25">
      <c r="A287" s="4" t="s">
        <v>15</v>
      </c>
      <c r="B287" s="3" t="s">
        <v>174</v>
      </c>
      <c r="C287" s="17" t="s">
        <v>355</v>
      </c>
      <c r="D287" s="17" t="s">
        <v>357</v>
      </c>
      <c r="E287" s="3" t="s">
        <v>16</v>
      </c>
      <c r="F287" s="3" t="s">
        <v>8</v>
      </c>
      <c r="G287" s="7">
        <f>1138556.24/1000</f>
        <v>1138.5562399999999</v>
      </c>
    </row>
    <row r="288" spans="1:7" ht="38.25" x14ac:dyDescent="0.25">
      <c r="A288" s="4" t="s">
        <v>175</v>
      </c>
      <c r="B288" s="3" t="s">
        <v>174</v>
      </c>
      <c r="C288" s="17" t="s">
        <v>355</v>
      </c>
      <c r="D288" s="17" t="s">
        <v>357</v>
      </c>
      <c r="E288" s="3" t="s">
        <v>176</v>
      </c>
      <c r="F288" s="3" t="s">
        <v>8</v>
      </c>
      <c r="G288" s="7">
        <f>1138556.24/1000</f>
        <v>1138.5562399999999</v>
      </c>
    </row>
    <row r="289" spans="1:7" ht="38.25" x14ac:dyDescent="0.25">
      <c r="A289" s="4" t="s">
        <v>31</v>
      </c>
      <c r="B289" s="3" t="s">
        <v>174</v>
      </c>
      <c r="C289" s="17" t="s">
        <v>355</v>
      </c>
      <c r="D289" s="17" t="s">
        <v>357</v>
      </c>
      <c r="E289" s="3" t="s">
        <v>176</v>
      </c>
      <c r="F289" s="3" t="s">
        <v>32</v>
      </c>
      <c r="G289" s="7">
        <f>1138556.24/1000</f>
        <v>1138.5562399999999</v>
      </c>
    </row>
    <row r="290" spans="1:7" ht="63.75" x14ac:dyDescent="0.25">
      <c r="A290" s="4" t="s">
        <v>68</v>
      </c>
      <c r="B290" s="3" t="s">
        <v>174</v>
      </c>
      <c r="C290" s="17" t="s">
        <v>355</v>
      </c>
      <c r="D290" s="17" t="s">
        <v>357</v>
      </c>
      <c r="E290" s="3" t="s">
        <v>69</v>
      </c>
      <c r="F290" s="3" t="s">
        <v>8</v>
      </c>
      <c r="G290" s="7">
        <f>30000/1000</f>
        <v>30</v>
      </c>
    </row>
    <row r="291" spans="1:7" ht="25.5" x14ac:dyDescent="0.25">
      <c r="A291" s="4" t="s">
        <v>184</v>
      </c>
      <c r="B291" s="3" t="s">
        <v>174</v>
      </c>
      <c r="C291" s="17" t="s">
        <v>355</v>
      </c>
      <c r="D291" s="17" t="s">
        <v>357</v>
      </c>
      <c r="E291" s="3" t="s">
        <v>185</v>
      </c>
      <c r="F291" s="3" t="s">
        <v>8</v>
      </c>
      <c r="G291" s="7">
        <f>30000/1000</f>
        <v>30</v>
      </c>
    </row>
    <row r="292" spans="1:7" ht="38.25" x14ac:dyDescent="0.25">
      <c r="A292" s="4" t="s">
        <v>31</v>
      </c>
      <c r="B292" s="3" t="s">
        <v>174</v>
      </c>
      <c r="C292" s="17" t="s">
        <v>355</v>
      </c>
      <c r="D292" s="17" t="s">
        <v>357</v>
      </c>
      <c r="E292" s="3" t="s">
        <v>185</v>
      </c>
      <c r="F292" s="3" t="s">
        <v>32</v>
      </c>
      <c r="G292" s="7">
        <f>30000/1000</f>
        <v>30</v>
      </c>
    </row>
    <row r="293" spans="1:7" ht="63.75" x14ac:dyDescent="0.25">
      <c r="A293" s="11" t="s">
        <v>186</v>
      </c>
      <c r="B293" s="12" t="s">
        <v>187</v>
      </c>
      <c r="C293" s="18" t="s">
        <v>353</v>
      </c>
      <c r="D293" s="18" t="s">
        <v>353</v>
      </c>
      <c r="E293" s="12" t="s">
        <v>7</v>
      </c>
      <c r="F293" s="12" t="s">
        <v>8</v>
      </c>
      <c r="G293" s="14">
        <f>35003066.06/1000</f>
        <v>35003.066060000005</v>
      </c>
    </row>
    <row r="294" spans="1:7" ht="25.5" x14ac:dyDescent="0.25">
      <c r="A294" s="4" t="s">
        <v>11</v>
      </c>
      <c r="B294" s="3" t="s">
        <v>187</v>
      </c>
      <c r="C294" s="17" t="s">
        <v>351</v>
      </c>
      <c r="D294" s="17" t="s">
        <v>353</v>
      </c>
      <c r="E294" s="3" t="s">
        <v>7</v>
      </c>
      <c r="F294" s="3" t="s">
        <v>8</v>
      </c>
      <c r="G294" s="7">
        <f>8093238.69/1000</f>
        <v>8093.2386900000001</v>
      </c>
    </row>
    <row r="295" spans="1:7" ht="25.5" x14ac:dyDescent="0.25">
      <c r="A295" s="4" t="s">
        <v>40</v>
      </c>
      <c r="B295" s="3" t="s">
        <v>187</v>
      </c>
      <c r="C295" s="17" t="s">
        <v>351</v>
      </c>
      <c r="D295" s="17" t="s">
        <v>356</v>
      </c>
      <c r="E295" s="3" t="s">
        <v>7</v>
      </c>
      <c r="F295" s="3" t="s">
        <v>8</v>
      </c>
      <c r="G295" s="7">
        <f>8093238.69/1000</f>
        <v>8093.2386900000001</v>
      </c>
    </row>
    <row r="296" spans="1:7" ht="63.75" x14ac:dyDescent="0.25">
      <c r="A296" s="4" t="s">
        <v>13</v>
      </c>
      <c r="B296" s="3" t="s">
        <v>187</v>
      </c>
      <c r="C296" s="17" t="s">
        <v>351</v>
      </c>
      <c r="D296" s="17" t="s">
        <v>356</v>
      </c>
      <c r="E296" s="3" t="s">
        <v>14</v>
      </c>
      <c r="F296" s="3" t="s">
        <v>8</v>
      </c>
      <c r="G296" s="7">
        <f>8093238.69/1000</f>
        <v>8093.2386900000001</v>
      </c>
    </row>
    <row r="297" spans="1:7" ht="76.5" x14ac:dyDescent="0.25">
      <c r="A297" s="4" t="s">
        <v>15</v>
      </c>
      <c r="B297" s="3" t="s">
        <v>187</v>
      </c>
      <c r="C297" s="17" t="s">
        <v>351</v>
      </c>
      <c r="D297" s="17" t="s">
        <v>356</v>
      </c>
      <c r="E297" s="3" t="s">
        <v>16</v>
      </c>
      <c r="F297" s="3" t="s">
        <v>8</v>
      </c>
      <c r="G297" s="7">
        <f>7999638.69/1000</f>
        <v>7999.6386900000007</v>
      </c>
    </row>
    <row r="298" spans="1:7" ht="51" x14ac:dyDescent="0.25">
      <c r="A298" s="4" t="s">
        <v>188</v>
      </c>
      <c r="B298" s="3" t="s">
        <v>187</v>
      </c>
      <c r="C298" s="17" t="s">
        <v>351</v>
      </c>
      <c r="D298" s="17" t="s">
        <v>356</v>
      </c>
      <c r="E298" s="3" t="s">
        <v>189</v>
      </c>
      <c r="F298" s="3" t="s">
        <v>8</v>
      </c>
      <c r="G298" s="7">
        <f>7999638.69/1000</f>
        <v>7999.6386900000007</v>
      </c>
    </row>
    <row r="299" spans="1:7" ht="89.25" x14ac:dyDescent="0.25">
      <c r="A299" s="4" t="s">
        <v>19</v>
      </c>
      <c r="B299" s="3" t="s">
        <v>187</v>
      </c>
      <c r="C299" s="17" t="s">
        <v>351</v>
      </c>
      <c r="D299" s="17" t="s">
        <v>356</v>
      </c>
      <c r="E299" s="3" t="s">
        <v>189</v>
      </c>
      <c r="F299" s="3" t="s">
        <v>20</v>
      </c>
      <c r="G299" s="7">
        <f>6180091.37/1000</f>
        <v>6180.0913700000001</v>
      </c>
    </row>
    <row r="300" spans="1:7" ht="38.25" x14ac:dyDescent="0.25">
      <c r="A300" s="4" t="s">
        <v>31</v>
      </c>
      <c r="B300" s="3" t="s">
        <v>187</v>
      </c>
      <c r="C300" s="17" t="s">
        <v>351</v>
      </c>
      <c r="D300" s="17" t="s">
        <v>356</v>
      </c>
      <c r="E300" s="3" t="s">
        <v>189</v>
      </c>
      <c r="F300" s="3" t="s">
        <v>32</v>
      </c>
      <c r="G300" s="7">
        <f>1801517.32/1000</f>
        <v>1801.5173200000002</v>
      </c>
    </row>
    <row r="301" spans="1:7" ht="25.5" x14ac:dyDescent="0.25">
      <c r="A301" s="4" t="s">
        <v>35</v>
      </c>
      <c r="B301" s="3" t="s">
        <v>187</v>
      </c>
      <c r="C301" s="17" t="s">
        <v>351</v>
      </c>
      <c r="D301" s="17" t="s">
        <v>356</v>
      </c>
      <c r="E301" s="3" t="s">
        <v>189</v>
      </c>
      <c r="F301" s="3" t="s">
        <v>36</v>
      </c>
      <c r="G301" s="7">
        <f>18030/1000</f>
        <v>18.03</v>
      </c>
    </row>
    <row r="302" spans="1:7" ht="25.5" x14ac:dyDescent="0.25">
      <c r="A302" s="4" t="s">
        <v>62</v>
      </c>
      <c r="B302" s="3" t="s">
        <v>187</v>
      </c>
      <c r="C302" s="17" t="s">
        <v>351</v>
      </c>
      <c r="D302" s="17" t="s">
        <v>356</v>
      </c>
      <c r="E302" s="3" t="s">
        <v>63</v>
      </c>
      <c r="F302" s="3" t="s">
        <v>8</v>
      </c>
      <c r="G302" s="7">
        <f>6000/1000</f>
        <v>6</v>
      </c>
    </row>
    <row r="303" spans="1:7" ht="25.5" x14ac:dyDescent="0.25">
      <c r="A303" s="4" t="s">
        <v>66</v>
      </c>
      <c r="B303" s="3" t="s">
        <v>187</v>
      </c>
      <c r="C303" s="17" t="s">
        <v>351</v>
      </c>
      <c r="D303" s="17" t="s">
        <v>356</v>
      </c>
      <c r="E303" s="3" t="s">
        <v>67</v>
      </c>
      <c r="F303" s="3" t="s">
        <v>8</v>
      </c>
      <c r="G303" s="7">
        <f>6000/1000</f>
        <v>6</v>
      </c>
    </row>
    <row r="304" spans="1:7" ht="38.25" x14ac:dyDescent="0.25">
      <c r="A304" s="4" t="s">
        <v>31</v>
      </c>
      <c r="B304" s="3" t="s">
        <v>187</v>
      </c>
      <c r="C304" s="17" t="s">
        <v>351</v>
      </c>
      <c r="D304" s="17" t="s">
        <v>356</v>
      </c>
      <c r="E304" s="3" t="s">
        <v>67</v>
      </c>
      <c r="F304" s="3" t="s">
        <v>32</v>
      </c>
      <c r="G304" s="7">
        <f>6000/1000</f>
        <v>6</v>
      </c>
    </row>
    <row r="305" spans="1:7" ht="25.5" x14ac:dyDescent="0.25">
      <c r="A305" s="4" t="s">
        <v>21</v>
      </c>
      <c r="B305" s="3" t="s">
        <v>187</v>
      </c>
      <c r="C305" s="17" t="s">
        <v>351</v>
      </c>
      <c r="D305" s="17" t="s">
        <v>356</v>
      </c>
      <c r="E305" s="3" t="s">
        <v>22</v>
      </c>
      <c r="F305" s="3" t="s">
        <v>8</v>
      </c>
      <c r="G305" s="7">
        <f>87600/1000</f>
        <v>87.6</v>
      </c>
    </row>
    <row r="306" spans="1:7" ht="25.5" x14ac:dyDescent="0.25">
      <c r="A306" s="4" t="s">
        <v>23</v>
      </c>
      <c r="B306" s="3" t="s">
        <v>187</v>
      </c>
      <c r="C306" s="17" t="s">
        <v>351</v>
      </c>
      <c r="D306" s="17" t="s">
        <v>356</v>
      </c>
      <c r="E306" s="3" t="s">
        <v>24</v>
      </c>
      <c r="F306" s="3" t="s">
        <v>8</v>
      </c>
      <c r="G306" s="7">
        <f>87600/1000</f>
        <v>87.6</v>
      </c>
    </row>
    <row r="307" spans="1:7" ht="25.5" x14ac:dyDescent="0.25">
      <c r="A307" s="4" t="s">
        <v>25</v>
      </c>
      <c r="B307" s="3" t="s">
        <v>187</v>
      </c>
      <c r="C307" s="17" t="s">
        <v>351</v>
      </c>
      <c r="D307" s="17" t="s">
        <v>356</v>
      </c>
      <c r="E307" s="3" t="s">
        <v>24</v>
      </c>
      <c r="F307" s="3" t="s">
        <v>8</v>
      </c>
      <c r="G307" s="7">
        <f>52500/1000</f>
        <v>52.5</v>
      </c>
    </row>
    <row r="308" spans="1:7" ht="89.25" x14ac:dyDescent="0.25">
      <c r="A308" s="4" t="s">
        <v>19</v>
      </c>
      <c r="B308" s="3" t="s">
        <v>187</v>
      </c>
      <c r="C308" s="17" t="s">
        <v>351</v>
      </c>
      <c r="D308" s="17" t="s">
        <v>356</v>
      </c>
      <c r="E308" s="3" t="s">
        <v>24</v>
      </c>
      <c r="F308" s="3" t="s">
        <v>20</v>
      </c>
      <c r="G308" s="7">
        <f>52500/1000</f>
        <v>52.5</v>
      </c>
    </row>
    <row r="309" spans="1:7" ht="63.75" x14ac:dyDescent="0.25">
      <c r="A309" s="4" t="s">
        <v>26</v>
      </c>
      <c r="B309" s="3" t="s">
        <v>187</v>
      </c>
      <c r="C309" s="17" t="s">
        <v>351</v>
      </c>
      <c r="D309" s="17" t="s">
        <v>356</v>
      </c>
      <c r="E309" s="3" t="s">
        <v>27</v>
      </c>
      <c r="F309" s="3" t="s">
        <v>8</v>
      </c>
      <c r="G309" s="7">
        <f>35100/1000</f>
        <v>35.1</v>
      </c>
    </row>
    <row r="310" spans="1:7" ht="89.25" x14ac:dyDescent="0.25">
      <c r="A310" s="4" t="s">
        <v>19</v>
      </c>
      <c r="B310" s="3" t="s">
        <v>187</v>
      </c>
      <c r="C310" s="17" t="s">
        <v>351</v>
      </c>
      <c r="D310" s="17" t="s">
        <v>356</v>
      </c>
      <c r="E310" s="3" t="s">
        <v>27</v>
      </c>
      <c r="F310" s="3" t="s">
        <v>20</v>
      </c>
      <c r="G310" s="7">
        <f>35100/1000</f>
        <v>35.1</v>
      </c>
    </row>
    <row r="311" spans="1:7" ht="38.25" x14ac:dyDescent="0.25">
      <c r="A311" s="4" t="s">
        <v>87</v>
      </c>
      <c r="B311" s="3" t="s">
        <v>187</v>
      </c>
      <c r="C311" s="17" t="s">
        <v>357</v>
      </c>
      <c r="D311" s="17" t="s">
        <v>353</v>
      </c>
      <c r="E311" s="3" t="s">
        <v>7</v>
      </c>
      <c r="F311" s="3" t="s">
        <v>8</v>
      </c>
      <c r="G311" s="7">
        <f>13963185.35/1000</f>
        <v>13963.18535</v>
      </c>
    </row>
    <row r="312" spans="1:7" ht="51" x14ac:dyDescent="0.25">
      <c r="A312" s="4" t="s">
        <v>88</v>
      </c>
      <c r="B312" s="3" t="s">
        <v>187</v>
      </c>
      <c r="C312" s="17" t="s">
        <v>357</v>
      </c>
      <c r="D312" s="17" t="s">
        <v>358</v>
      </c>
      <c r="E312" s="3" t="s">
        <v>7</v>
      </c>
      <c r="F312" s="3" t="s">
        <v>8</v>
      </c>
      <c r="G312" s="7">
        <f>13963185.35/1000</f>
        <v>13963.18535</v>
      </c>
    </row>
    <row r="313" spans="1:7" ht="114.75" x14ac:dyDescent="0.25">
      <c r="A313" s="4" t="s">
        <v>41</v>
      </c>
      <c r="B313" s="3" t="s">
        <v>187</v>
      </c>
      <c r="C313" s="17" t="s">
        <v>357</v>
      </c>
      <c r="D313" s="17" t="s">
        <v>358</v>
      </c>
      <c r="E313" s="3" t="s">
        <v>42</v>
      </c>
      <c r="F313" s="3" t="s">
        <v>8</v>
      </c>
      <c r="G313" s="7">
        <f>13963185.35/1000</f>
        <v>13963.18535</v>
      </c>
    </row>
    <row r="314" spans="1:7" ht="51" x14ac:dyDescent="0.25">
      <c r="A314" s="4" t="s">
        <v>91</v>
      </c>
      <c r="B314" s="3" t="s">
        <v>187</v>
      </c>
      <c r="C314" s="17" t="s">
        <v>357</v>
      </c>
      <c r="D314" s="17" t="s">
        <v>358</v>
      </c>
      <c r="E314" s="3" t="s">
        <v>92</v>
      </c>
      <c r="F314" s="3" t="s">
        <v>8</v>
      </c>
      <c r="G314" s="7">
        <f>1833763.43/1000</f>
        <v>1833.76343</v>
      </c>
    </row>
    <row r="315" spans="1:7" ht="38.25" x14ac:dyDescent="0.25">
      <c r="A315" s="4" t="s">
        <v>31</v>
      </c>
      <c r="B315" s="3" t="s">
        <v>187</v>
      </c>
      <c r="C315" s="17" t="s">
        <v>357</v>
      </c>
      <c r="D315" s="17" t="s">
        <v>358</v>
      </c>
      <c r="E315" s="3" t="s">
        <v>92</v>
      </c>
      <c r="F315" s="3" t="s">
        <v>32</v>
      </c>
      <c r="G315" s="7">
        <f>1833763.43/1000</f>
        <v>1833.76343</v>
      </c>
    </row>
    <row r="316" spans="1:7" ht="25.5" x14ac:dyDescent="0.25">
      <c r="A316" s="4" t="s">
        <v>45</v>
      </c>
      <c r="B316" s="3" t="s">
        <v>187</v>
      </c>
      <c r="C316" s="17" t="s">
        <v>357</v>
      </c>
      <c r="D316" s="17" t="s">
        <v>358</v>
      </c>
      <c r="E316" s="3" t="s">
        <v>93</v>
      </c>
      <c r="F316" s="3" t="s">
        <v>8</v>
      </c>
      <c r="G316" s="7">
        <f>12129421.92/1000</f>
        <v>12129.421920000001</v>
      </c>
    </row>
    <row r="317" spans="1:7" ht="89.25" x14ac:dyDescent="0.25">
      <c r="A317" s="4" t="s">
        <v>19</v>
      </c>
      <c r="B317" s="3" t="s">
        <v>187</v>
      </c>
      <c r="C317" s="17" t="s">
        <v>357</v>
      </c>
      <c r="D317" s="17" t="s">
        <v>358</v>
      </c>
      <c r="E317" s="3" t="s">
        <v>93</v>
      </c>
      <c r="F317" s="3" t="s">
        <v>20</v>
      </c>
      <c r="G317" s="7">
        <f>10149733.27/1000</f>
        <v>10149.733269999999</v>
      </c>
    </row>
    <row r="318" spans="1:7" ht="38.25" x14ac:dyDescent="0.25">
      <c r="A318" s="4" t="s">
        <v>31</v>
      </c>
      <c r="B318" s="3" t="s">
        <v>187</v>
      </c>
      <c r="C318" s="17" t="s">
        <v>357</v>
      </c>
      <c r="D318" s="17" t="s">
        <v>358</v>
      </c>
      <c r="E318" s="3" t="s">
        <v>93</v>
      </c>
      <c r="F318" s="3" t="s">
        <v>32</v>
      </c>
      <c r="G318" s="7">
        <f>1979688.65/1000</f>
        <v>1979.6886499999998</v>
      </c>
    </row>
    <row r="319" spans="1:7" x14ac:dyDescent="0.25">
      <c r="A319" s="4" t="s">
        <v>104</v>
      </c>
      <c r="B319" s="3" t="s">
        <v>187</v>
      </c>
      <c r="C319" s="17" t="s">
        <v>354</v>
      </c>
      <c r="D319" s="17" t="s">
        <v>353</v>
      </c>
      <c r="E319" s="3" t="s">
        <v>7</v>
      </c>
      <c r="F319" s="3" t="s">
        <v>8</v>
      </c>
      <c r="G319" s="7">
        <f>10887989.34/1000</f>
        <v>10887.98934</v>
      </c>
    </row>
    <row r="320" spans="1:7" x14ac:dyDescent="0.25">
      <c r="A320" s="4" t="s">
        <v>105</v>
      </c>
      <c r="B320" s="3" t="s">
        <v>187</v>
      </c>
      <c r="C320" s="17" t="s">
        <v>354</v>
      </c>
      <c r="D320" s="17" t="s">
        <v>351</v>
      </c>
      <c r="E320" s="3" t="s">
        <v>7</v>
      </c>
      <c r="F320" s="3" t="s">
        <v>8</v>
      </c>
      <c r="G320" s="7">
        <f>774807.29/1000</f>
        <v>774.80729000000008</v>
      </c>
    </row>
    <row r="321" spans="1:7" ht="76.5" x14ac:dyDescent="0.25">
      <c r="A321" s="4" t="s">
        <v>107</v>
      </c>
      <c r="B321" s="3" t="s">
        <v>187</v>
      </c>
      <c r="C321" s="17" t="s">
        <v>354</v>
      </c>
      <c r="D321" s="17" t="s">
        <v>351</v>
      </c>
      <c r="E321" s="3" t="s">
        <v>108</v>
      </c>
      <c r="F321" s="3" t="s">
        <v>8</v>
      </c>
      <c r="G321" s="7">
        <f>774807.29/1000</f>
        <v>774.80729000000008</v>
      </c>
    </row>
    <row r="322" spans="1:7" ht="38.25" x14ac:dyDescent="0.25">
      <c r="A322" s="4" t="s">
        <v>109</v>
      </c>
      <c r="B322" s="3" t="s">
        <v>187</v>
      </c>
      <c r="C322" s="17" t="s">
        <v>354</v>
      </c>
      <c r="D322" s="17" t="s">
        <v>351</v>
      </c>
      <c r="E322" s="3" t="s">
        <v>110</v>
      </c>
      <c r="F322" s="3" t="s">
        <v>8</v>
      </c>
      <c r="G322" s="7">
        <f>659441.92/1000</f>
        <v>659.4419200000001</v>
      </c>
    </row>
    <row r="323" spans="1:7" ht="89.25" x14ac:dyDescent="0.25">
      <c r="A323" s="4" t="s">
        <v>19</v>
      </c>
      <c r="B323" s="3" t="s">
        <v>187</v>
      </c>
      <c r="C323" s="17" t="s">
        <v>354</v>
      </c>
      <c r="D323" s="17" t="s">
        <v>351</v>
      </c>
      <c r="E323" s="3" t="s">
        <v>110</v>
      </c>
      <c r="F323" s="3" t="s">
        <v>20</v>
      </c>
      <c r="G323" s="7">
        <f>659441.92/1000</f>
        <v>659.4419200000001</v>
      </c>
    </row>
    <row r="324" spans="1:7" ht="63.75" x14ac:dyDescent="0.25">
      <c r="A324" s="4" t="s">
        <v>190</v>
      </c>
      <c r="B324" s="3" t="s">
        <v>187</v>
      </c>
      <c r="C324" s="17" t="s">
        <v>354</v>
      </c>
      <c r="D324" s="17" t="s">
        <v>351</v>
      </c>
      <c r="E324" s="3" t="s">
        <v>191</v>
      </c>
      <c r="F324" s="3" t="s">
        <v>8</v>
      </c>
      <c r="G324" s="7">
        <f>115365.37/1000</f>
        <v>115.36537</v>
      </c>
    </row>
    <row r="325" spans="1:7" ht="89.25" x14ac:dyDescent="0.25">
      <c r="A325" s="4" t="s">
        <v>19</v>
      </c>
      <c r="B325" s="3" t="s">
        <v>187</v>
      </c>
      <c r="C325" s="17" t="s">
        <v>354</v>
      </c>
      <c r="D325" s="17" t="s">
        <v>351</v>
      </c>
      <c r="E325" s="3" t="s">
        <v>191</v>
      </c>
      <c r="F325" s="3" t="s">
        <v>20</v>
      </c>
      <c r="G325" s="7">
        <f>115365.37/1000</f>
        <v>115.36537</v>
      </c>
    </row>
    <row r="326" spans="1:7" x14ac:dyDescent="0.25">
      <c r="A326" s="4" t="s">
        <v>179</v>
      </c>
      <c r="B326" s="3" t="s">
        <v>187</v>
      </c>
      <c r="C326" s="17" t="s">
        <v>354</v>
      </c>
      <c r="D326" s="17" t="s">
        <v>363</v>
      </c>
      <c r="E326" s="3" t="s">
        <v>7</v>
      </c>
      <c r="F326" s="3" t="s">
        <v>8</v>
      </c>
      <c r="G326" s="7">
        <f>450450/1000</f>
        <v>450.45</v>
      </c>
    </row>
    <row r="327" spans="1:7" ht="114.75" x14ac:dyDescent="0.25">
      <c r="A327" s="4" t="s">
        <v>41</v>
      </c>
      <c r="B327" s="3" t="s">
        <v>187</v>
      </c>
      <c r="C327" s="17" t="s">
        <v>354</v>
      </c>
      <c r="D327" s="17" t="s">
        <v>363</v>
      </c>
      <c r="E327" s="3" t="s">
        <v>42</v>
      </c>
      <c r="F327" s="3" t="s">
        <v>8</v>
      </c>
      <c r="G327" s="7">
        <f>450450/1000</f>
        <v>450.45</v>
      </c>
    </row>
    <row r="328" spans="1:7" ht="76.5" x14ac:dyDescent="0.25">
      <c r="A328" s="4" t="s">
        <v>180</v>
      </c>
      <c r="B328" s="3" t="s">
        <v>187</v>
      </c>
      <c r="C328" s="17" t="s">
        <v>354</v>
      </c>
      <c r="D328" s="17" t="s">
        <v>363</v>
      </c>
      <c r="E328" s="3" t="s">
        <v>181</v>
      </c>
      <c r="F328" s="3" t="s">
        <v>8</v>
      </c>
      <c r="G328" s="7">
        <f>450450/1000</f>
        <v>450.45</v>
      </c>
    </row>
    <row r="329" spans="1:7" ht="38.25" x14ac:dyDescent="0.25">
      <c r="A329" s="4" t="s">
        <v>31</v>
      </c>
      <c r="B329" s="3" t="s">
        <v>187</v>
      </c>
      <c r="C329" s="17" t="s">
        <v>354</v>
      </c>
      <c r="D329" s="17" t="s">
        <v>363</v>
      </c>
      <c r="E329" s="3" t="s">
        <v>181</v>
      </c>
      <c r="F329" s="3" t="s">
        <v>32</v>
      </c>
      <c r="G329" s="7">
        <f>450450/1000</f>
        <v>450.45</v>
      </c>
    </row>
    <row r="330" spans="1:7" ht="25.5" x14ac:dyDescent="0.25">
      <c r="A330" s="4" t="s">
        <v>117</v>
      </c>
      <c r="B330" s="3" t="s">
        <v>187</v>
      </c>
      <c r="C330" s="17" t="s">
        <v>354</v>
      </c>
      <c r="D330" s="17" t="s">
        <v>360</v>
      </c>
      <c r="E330" s="3" t="s">
        <v>7</v>
      </c>
      <c r="F330" s="3" t="s">
        <v>8</v>
      </c>
      <c r="G330" s="7">
        <f>9662732.05/1000</f>
        <v>9662.7320500000005</v>
      </c>
    </row>
    <row r="331" spans="1:7" ht="63.75" x14ac:dyDescent="0.25">
      <c r="A331" s="4" t="s">
        <v>13</v>
      </c>
      <c r="B331" s="3" t="s">
        <v>187</v>
      </c>
      <c r="C331" s="17" t="s">
        <v>354</v>
      </c>
      <c r="D331" s="17" t="s">
        <v>360</v>
      </c>
      <c r="E331" s="3" t="s">
        <v>14</v>
      </c>
      <c r="F331" s="3" t="s">
        <v>8</v>
      </c>
      <c r="G331" s="7">
        <f>9662732.05/1000</f>
        <v>9662.7320500000005</v>
      </c>
    </row>
    <row r="332" spans="1:7" ht="25.5" x14ac:dyDescent="0.25">
      <c r="A332" s="4" t="s">
        <v>118</v>
      </c>
      <c r="B332" s="3" t="s">
        <v>187</v>
      </c>
      <c r="C332" s="17" t="s">
        <v>354</v>
      </c>
      <c r="D332" s="17" t="s">
        <v>360</v>
      </c>
      <c r="E332" s="3" t="s">
        <v>119</v>
      </c>
      <c r="F332" s="3" t="s">
        <v>8</v>
      </c>
      <c r="G332" s="7">
        <f>6152245.42/1000</f>
        <v>6152.2454200000002</v>
      </c>
    </row>
    <row r="333" spans="1:7" ht="38.25" x14ac:dyDescent="0.25">
      <c r="A333" s="4" t="s">
        <v>31</v>
      </c>
      <c r="B333" s="3" t="s">
        <v>187</v>
      </c>
      <c r="C333" s="17" t="s">
        <v>354</v>
      </c>
      <c r="D333" s="17" t="s">
        <v>360</v>
      </c>
      <c r="E333" s="3" t="s">
        <v>119</v>
      </c>
      <c r="F333" s="3" t="s">
        <v>32</v>
      </c>
      <c r="G333" s="7">
        <f>6152245.42/1000</f>
        <v>6152.2454200000002</v>
      </c>
    </row>
    <row r="334" spans="1:7" ht="25.5" x14ac:dyDescent="0.25">
      <c r="A334" s="4" t="s">
        <v>21</v>
      </c>
      <c r="B334" s="3" t="s">
        <v>187</v>
      </c>
      <c r="C334" s="17" t="s">
        <v>354</v>
      </c>
      <c r="D334" s="17" t="s">
        <v>360</v>
      </c>
      <c r="E334" s="3" t="s">
        <v>22</v>
      </c>
      <c r="F334" s="3" t="s">
        <v>8</v>
      </c>
      <c r="G334" s="7">
        <f>3510486.63/1000</f>
        <v>3510.4866299999999</v>
      </c>
    </row>
    <row r="335" spans="1:7" ht="102" x14ac:dyDescent="0.25">
      <c r="A335" s="4" t="s">
        <v>120</v>
      </c>
      <c r="B335" s="3" t="s">
        <v>187</v>
      </c>
      <c r="C335" s="17" t="s">
        <v>354</v>
      </c>
      <c r="D335" s="17" t="s">
        <v>360</v>
      </c>
      <c r="E335" s="3" t="s">
        <v>121</v>
      </c>
      <c r="F335" s="3" t="s">
        <v>8</v>
      </c>
      <c r="G335" s="7">
        <f>3473925/1000</f>
        <v>3473.9250000000002</v>
      </c>
    </row>
    <row r="336" spans="1:7" ht="38.25" x14ac:dyDescent="0.25">
      <c r="A336" s="4" t="s">
        <v>31</v>
      </c>
      <c r="B336" s="3" t="s">
        <v>187</v>
      </c>
      <c r="C336" s="17" t="s">
        <v>354</v>
      </c>
      <c r="D336" s="17" t="s">
        <v>360</v>
      </c>
      <c r="E336" s="3" t="s">
        <v>121</v>
      </c>
      <c r="F336" s="3" t="s">
        <v>32</v>
      </c>
      <c r="G336" s="7">
        <f>3473925/1000</f>
        <v>3473.9250000000002</v>
      </c>
    </row>
    <row r="337" spans="1:7" ht="102" x14ac:dyDescent="0.25">
      <c r="A337" s="4" t="s">
        <v>120</v>
      </c>
      <c r="B337" s="3" t="s">
        <v>187</v>
      </c>
      <c r="C337" s="17" t="s">
        <v>354</v>
      </c>
      <c r="D337" s="17" t="s">
        <v>360</v>
      </c>
      <c r="E337" s="3" t="s">
        <v>122</v>
      </c>
      <c r="F337" s="3" t="s">
        <v>8</v>
      </c>
      <c r="G337" s="7">
        <f>36561.63/1000</f>
        <v>36.561629999999994</v>
      </c>
    </row>
    <row r="338" spans="1:7" ht="38.25" x14ac:dyDescent="0.25">
      <c r="A338" s="4" t="s">
        <v>31</v>
      </c>
      <c r="B338" s="3" t="s">
        <v>187</v>
      </c>
      <c r="C338" s="17" t="s">
        <v>354</v>
      </c>
      <c r="D338" s="17" t="s">
        <v>360</v>
      </c>
      <c r="E338" s="3" t="s">
        <v>122</v>
      </c>
      <c r="F338" s="3" t="s">
        <v>32</v>
      </c>
      <c r="G338" s="7">
        <f>36561.63/1000</f>
        <v>36.561629999999994</v>
      </c>
    </row>
    <row r="339" spans="1:7" ht="25.5" x14ac:dyDescent="0.25">
      <c r="A339" s="4" t="s">
        <v>131</v>
      </c>
      <c r="B339" s="3" t="s">
        <v>187</v>
      </c>
      <c r="C339" s="17" t="s">
        <v>355</v>
      </c>
      <c r="D339" s="17" t="s">
        <v>353</v>
      </c>
      <c r="E339" s="3" t="s">
        <v>7</v>
      </c>
      <c r="F339" s="3" t="s">
        <v>8</v>
      </c>
      <c r="G339" s="7">
        <f t="shared" ref="G339:G344" si="1">1412649.35/1000</f>
        <v>1412.6493500000001</v>
      </c>
    </row>
    <row r="340" spans="1:7" x14ac:dyDescent="0.25">
      <c r="A340" s="4" t="s">
        <v>146</v>
      </c>
      <c r="B340" s="3" t="s">
        <v>187</v>
      </c>
      <c r="C340" s="17" t="s">
        <v>355</v>
      </c>
      <c r="D340" s="17" t="s">
        <v>357</v>
      </c>
      <c r="E340" s="3" t="s">
        <v>7</v>
      </c>
      <c r="F340" s="3" t="s">
        <v>8</v>
      </c>
      <c r="G340" s="7">
        <f t="shared" si="1"/>
        <v>1412.6493500000001</v>
      </c>
    </row>
    <row r="341" spans="1:7" ht="63.75" x14ac:dyDescent="0.25">
      <c r="A341" s="4" t="s">
        <v>13</v>
      </c>
      <c r="B341" s="3" t="s">
        <v>187</v>
      </c>
      <c r="C341" s="17" t="s">
        <v>355</v>
      </c>
      <c r="D341" s="17" t="s">
        <v>357</v>
      </c>
      <c r="E341" s="3" t="s">
        <v>14</v>
      </c>
      <c r="F341" s="3" t="s">
        <v>8</v>
      </c>
      <c r="G341" s="7">
        <f t="shared" si="1"/>
        <v>1412.6493500000001</v>
      </c>
    </row>
    <row r="342" spans="1:7" ht="76.5" x14ac:dyDescent="0.25">
      <c r="A342" s="4" t="s">
        <v>15</v>
      </c>
      <c r="B342" s="3" t="s">
        <v>187</v>
      </c>
      <c r="C342" s="17" t="s">
        <v>355</v>
      </c>
      <c r="D342" s="17" t="s">
        <v>357</v>
      </c>
      <c r="E342" s="3" t="s">
        <v>16</v>
      </c>
      <c r="F342" s="3" t="s">
        <v>8</v>
      </c>
      <c r="G342" s="7">
        <f t="shared" si="1"/>
        <v>1412.6493500000001</v>
      </c>
    </row>
    <row r="343" spans="1:7" ht="51" x14ac:dyDescent="0.25">
      <c r="A343" s="4" t="s">
        <v>188</v>
      </c>
      <c r="B343" s="3" t="s">
        <v>187</v>
      </c>
      <c r="C343" s="17" t="s">
        <v>355</v>
      </c>
      <c r="D343" s="17" t="s">
        <v>357</v>
      </c>
      <c r="E343" s="3" t="s">
        <v>189</v>
      </c>
      <c r="F343" s="3" t="s">
        <v>8</v>
      </c>
      <c r="G343" s="7">
        <f t="shared" si="1"/>
        <v>1412.6493500000001</v>
      </c>
    </row>
    <row r="344" spans="1:7" ht="38.25" x14ac:dyDescent="0.25">
      <c r="A344" s="4" t="s">
        <v>31</v>
      </c>
      <c r="B344" s="3" t="s">
        <v>187</v>
      </c>
      <c r="C344" s="17" t="s">
        <v>355</v>
      </c>
      <c r="D344" s="17" t="s">
        <v>357</v>
      </c>
      <c r="E344" s="3" t="s">
        <v>189</v>
      </c>
      <c r="F344" s="3" t="s">
        <v>32</v>
      </c>
      <c r="G344" s="7">
        <f t="shared" si="1"/>
        <v>1412.6493500000001</v>
      </c>
    </row>
    <row r="345" spans="1:7" x14ac:dyDescent="0.25">
      <c r="A345" s="4" t="s">
        <v>192</v>
      </c>
      <c r="B345" s="3" t="s">
        <v>187</v>
      </c>
      <c r="C345" s="17" t="s">
        <v>364</v>
      </c>
      <c r="D345" s="17" t="s">
        <v>353</v>
      </c>
      <c r="E345" s="3" t="s">
        <v>7</v>
      </c>
      <c r="F345" s="3" t="s">
        <v>8</v>
      </c>
      <c r="G345" s="7">
        <f t="shared" ref="G345:G350" si="2">646003.33/1000</f>
        <v>646.00333000000001</v>
      </c>
    </row>
    <row r="346" spans="1:7" x14ac:dyDescent="0.25">
      <c r="A346" s="4" t="s">
        <v>193</v>
      </c>
      <c r="B346" s="3" t="s">
        <v>187</v>
      </c>
      <c r="C346" s="17" t="s">
        <v>364</v>
      </c>
      <c r="D346" s="17" t="s">
        <v>351</v>
      </c>
      <c r="E346" s="3" t="s">
        <v>7</v>
      </c>
      <c r="F346" s="3" t="s">
        <v>8</v>
      </c>
      <c r="G346" s="7">
        <f t="shared" si="2"/>
        <v>646.00333000000001</v>
      </c>
    </row>
    <row r="347" spans="1:7" ht="63.75" x14ac:dyDescent="0.25">
      <c r="A347" s="4" t="s">
        <v>13</v>
      </c>
      <c r="B347" s="3" t="s">
        <v>187</v>
      </c>
      <c r="C347" s="17" t="s">
        <v>364</v>
      </c>
      <c r="D347" s="17" t="s">
        <v>351</v>
      </c>
      <c r="E347" s="3" t="s">
        <v>14</v>
      </c>
      <c r="F347" s="3" t="s">
        <v>8</v>
      </c>
      <c r="G347" s="7">
        <f t="shared" si="2"/>
        <v>646.00333000000001</v>
      </c>
    </row>
    <row r="348" spans="1:7" ht="76.5" x14ac:dyDescent="0.25">
      <c r="A348" s="4" t="s">
        <v>15</v>
      </c>
      <c r="B348" s="3" t="s">
        <v>187</v>
      </c>
      <c r="C348" s="17" t="s">
        <v>364</v>
      </c>
      <c r="D348" s="17" t="s">
        <v>351</v>
      </c>
      <c r="E348" s="3" t="s">
        <v>16</v>
      </c>
      <c r="F348" s="3" t="s">
        <v>8</v>
      </c>
      <c r="G348" s="7">
        <f t="shared" si="2"/>
        <v>646.00333000000001</v>
      </c>
    </row>
    <row r="349" spans="1:7" ht="51" x14ac:dyDescent="0.25">
      <c r="A349" s="4" t="s">
        <v>188</v>
      </c>
      <c r="B349" s="3" t="s">
        <v>187</v>
      </c>
      <c r="C349" s="17" t="s">
        <v>364</v>
      </c>
      <c r="D349" s="17" t="s">
        <v>351</v>
      </c>
      <c r="E349" s="3" t="s">
        <v>189</v>
      </c>
      <c r="F349" s="3" t="s">
        <v>8</v>
      </c>
      <c r="G349" s="7">
        <f t="shared" si="2"/>
        <v>646.00333000000001</v>
      </c>
    </row>
    <row r="350" spans="1:7" ht="38.25" x14ac:dyDescent="0.25">
      <c r="A350" s="4" t="s">
        <v>31</v>
      </c>
      <c r="B350" s="3" t="s">
        <v>187</v>
      </c>
      <c r="C350" s="17" t="s">
        <v>364</v>
      </c>
      <c r="D350" s="17" t="s">
        <v>351</v>
      </c>
      <c r="E350" s="3" t="s">
        <v>189</v>
      </c>
      <c r="F350" s="3" t="s">
        <v>32</v>
      </c>
      <c r="G350" s="7">
        <f t="shared" si="2"/>
        <v>646.00333000000001</v>
      </c>
    </row>
    <row r="351" spans="1:7" ht="63.75" x14ac:dyDescent="0.25">
      <c r="A351" s="11" t="s">
        <v>194</v>
      </c>
      <c r="B351" s="12" t="s">
        <v>195</v>
      </c>
      <c r="C351" s="18" t="s">
        <v>353</v>
      </c>
      <c r="D351" s="18" t="s">
        <v>353</v>
      </c>
      <c r="E351" s="12" t="s">
        <v>7</v>
      </c>
      <c r="F351" s="12" t="s">
        <v>8</v>
      </c>
      <c r="G351" s="14">
        <f>33248476.39/1000</f>
        <v>33248.476390000003</v>
      </c>
    </row>
    <row r="352" spans="1:7" ht="25.5" x14ac:dyDescent="0.25">
      <c r="A352" s="4" t="s">
        <v>11</v>
      </c>
      <c r="B352" s="3" t="s">
        <v>195</v>
      </c>
      <c r="C352" s="17" t="s">
        <v>351</v>
      </c>
      <c r="D352" s="17" t="s">
        <v>353</v>
      </c>
      <c r="E352" s="3" t="s">
        <v>7</v>
      </c>
      <c r="F352" s="3" t="s">
        <v>8</v>
      </c>
      <c r="G352" s="7">
        <f>9003323.46/1000</f>
        <v>9003.3234600000014</v>
      </c>
    </row>
    <row r="353" spans="1:7" ht="25.5" x14ac:dyDescent="0.25">
      <c r="A353" s="4" t="s">
        <v>40</v>
      </c>
      <c r="B353" s="3" t="s">
        <v>195</v>
      </c>
      <c r="C353" s="17" t="s">
        <v>351</v>
      </c>
      <c r="D353" s="17" t="s">
        <v>356</v>
      </c>
      <c r="E353" s="3" t="s">
        <v>7</v>
      </c>
      <c r="F353" s="3" t="s">
        <v>8</v>
      </c>
      <c r="G353" s="7">
        <f>9003323.46/1000</f>
        <v>9003.3234600000014</v>
      </c>
    </row>
    <row r="354" spans="1:7" ht="63.75" x14ac:dyDescent="0.25">
      <c r="A354" s="4" t="s">
        <v>13</v>
      </c>
      <c r="B354" s="3" t="s">
        <v>195</v>
      </c>
      <c r="C354" s="17" t="s">
        <v>351</v>
      </c>
      <c r="D354" s="17" t="s">
        <v>356</v>
      </c>
      <c r="E354" s="3" t="s">
        <v>14</v>
      </c>
      <c r="F354" s="3" t="s">
        <v>8</v>
      </c>
      <c r="G354" s="7">
        <f>9003323.46/1000</f>
        <v>9003.3234600000014</v>
      </c>
    </row>
    <row r="355" spans="1:7" ht="76.5" x14ac:dyDescent="0.25">
      <c r="A355" s="4" t="s">
        <v>15</v>
      </c>
      <c r="B355" s="3" t="s">
        <v>195</v>
      </c>
      <c r="C355" s="17" t="s">
        <v>351</v>
      </c>
      <c r="D355" s="17" t="s">
        <v>356</v>
      </c>
      <c r="E355" s="3" t="s">
        <v>16</v>
      </c>
      <c r="F355" s="3" t="s">
        <v>8</v>
      </c>
      <c r="G355" s="7">
        <f>8894323.46/1000</f>
        <v>8894.3234600000014</v>
      </c>
    </row>
    <row r="356" spans="1:7" ht="51" x14ac:dyDescent="0.25">
      <c r="A356" s="4" t="s">
        <v>196</v>
      </c>
      <c r="B356" s="3" t="s">
        <v>195</v>
      </c>
      <c r="C356" s="17" t="s">
        <v>351</v>
      </c>
      <c r="D356" s="17" t="s">
        <v>356</v>
      </c>
      <c r="E356" s="3" t="s">
        <v>197</v>
      </c>
      <c r="F356" s="3" t="s">
        <v>8</v>
      </c>
      <c r="G356" s="7">
        <f>8894323.46/1000</f>
        <v>8894.3234600000014</v>
      </c>
    </row>
    <row r="357" spans="1:7" ht="89.25" x14ac:dyDescent="0.25">
      <c r="A357" s="4" t="s">
        <v>19</v>
      </c>
      <c r="B357" s="3" t="s">
        <v>195</v>
      </c>
      <c r="C357" s="17" t="s">
        <v>351</v>
      </c>
      <c r="D357" s="17" t="s">
        <v>356</v>
      </c>
      <c r="E357" s="3" t="s">
        <v>197</v>
      </c>
      <c r="F357" s="3" t="s">
        <v>20</v>
      </c>
      <c r="G357" s="7">
        <f>7661307.13/1000</f>
        <v>7661.3071300000001</v>
      </c>
    </row>
    <row r="358" spans="1:7" ht="38.25" x14ac:dyDescent="0.25">
      <c r="A358" s="4" t="s">
        <v>31</v>
      </c>
      <c r="B358" s="3" t="s">
        <v>195</v>
      </c>
      <c r="C358" s="17" t="s">
        <v>351</v>
      </c>
      <c r="D358" s="17" t="s">
        <v>356</v>
      </c>
      <c r="E358" s="3" t="s">
        <v>197</v>
      </c>
      <c r="F358" s="3" t="s">
        <v>32</v>
      </c>
      <c r="G358" s="7">
        <f>1232950.33/1000</f>
        <v>1232.9503300000001</v>
      </c>
    </row>
    <row r="359" spans="1:7" ht="25.5" x14ac:dyDescent="0.25">
      <c r="A359" s="4" t="s">
        <v>35</v>
      </c>
      <c r="B359" s="3" t="s">
        <v>195</v>
      </c>
      <c r="C359" s="17" t="s">
        <v>351</v>
      </c>
      <c r="D359" s="17" t="s">
        <v>356</v>
      </c>
      <c r="E359" s="3" t="s">
        <v>197</v>
      </c>
      <c r="F359" s="3" t="s">
        <v>36</v>
      </c>
      <c r="G359" s="7">
        <f>66/1000</f>
        <v>6.6000000000000003E-2</v>
      </c>
    </row>
    <row r="360" spans="1:7" ht="25.5" x14ac:dyDescent="0.25">
      <c r="A360" s="4" t="s">
        <v>62</v>
      </c>
      <c r="B360" s="3" t="s">
        <v>195</v>
      </c>
      <c r="C360" s="17" t="s">
        <v>351</v>
      </c>
      <c r="D360" s="17" t="s">
        <v>356</v>
      </c>
      <c r="E360" s="3" t="s">
        <v>63</v>
      </c>
      <c r="F360" s="3" t="s">
        <v>8</v>
      </c>
      <c r="G360" s="7">
        <f>6000/1000</f>
        <v>6</v>
      </c>
    </row>
    <row r="361" spans="1:7" ht="25.5" x14ac:dyDescent="0.25">
      <c r="A361" s="4" t="s">
        <v>66</v>
      </c>
      <c r="B361" s="3" t="s">
        <v>195</v>
      </c>
      <c r="C361" s="17" t="s">
        <v>351</v>
      </c>
      <c r="D361" s="17" t="s">
        <v>356</v>
      </c>
      <c r="E361" s="3" t="s">
        <v>67</v>
      </c>
      <c r="F361" s="3" t="s">
        <v>8</v>
      </c>
      <c r="G361" s="7">
        <f>6000/1000</f>
        <v>6</v>
      </c>
    </row>
    <row r="362" spans="1:7" ht="38.25" x14ac:dyDescent="0.25">
      <c r="A362" s="4" t="s">
        <v>31</v>
      </c>
      <c r="B362" s="3" t="s">
        <v>195</v>
      </c>
      <c r="C362" s="17" t="s">
        <v>351</v>
      </c>
      <c r="D362" s="17" t="s">
        <v>356</v>
      </c>
      <c r="E362" s="3" t="s">
        <v>67</v>
      </c>
      <c r="F362" s="3" t="s">
        <v>32</v>
      </c>
      <c r="G362" s="7">
        <f>6000/1000</f>
        <v>6</v>
      </c>
    </row>
    <row r="363" spans="1:7" ht="25.5" x14ac:dyDescent="0.25">
      <c r="A363" s="4" t="s">
        <v>21</v>
      </c>
      <c r="B363" s="3" t="s">
        <v>195</v>
      </c>
      <c r="C363" s="17" t="s">
        <v>351</v>
      </c>
      <c r="D363" s="17" t="s">
        <v>356</v>
      </c>
      <c r="E363" s="3" t="s">
        <v>22</v>
      </c>
      <c r="F363" s="3" t="s">
        <v>8</v>
      </c>
      <c r="G363" s="7">
        <f>103000/1000</f>
        <v>103</v>
      </c>
    </row>
    <row r="364" spans="1:7" ht="25.5" x14ac:dyDescent="0.25">
      <c r="A364" s="4" t="s">
        <v>23</v>
      </c>
      <c r="B364" s="3" t="s">
        <v>195</v>
      </c>
      <c r="C364" s="17" t="s">
        <v>351</v>
      </c>
      <c r="D364" s="17" t="s">
        <v>356</v>
      </c>
      <c r="E364" s="3" t="s">
        <v>24</v>
      </c>
      <c r="F364" s="3" t="s">
        <v>8</v>
      </c>
      <c r="G364" s="7">
        <f>103000/1000</f>
        <v>103</v>
      </c>
    </row>
    <row r="365" spans="1:7" ht="25.5" x14ac:dyDescent="0.25">
      <c r="A365" s="4" t="s">
        <v>25</v>
      </c>
      <c r="B365" s="3" t="s">
        <v>195</v>
      </c>
      <c r="C365" s="17" t="s">
        <v>351</v>
      </c>
      <c r="D365" s="17" t="s">
        <v>356</v>
      </c>
      <c r="E365" s="3" t="s">
        <v>24</v>
      </c>
      <c r="F365" s="3" t="s">
        <v>8</v>
      </c>
      <c r="G365" s="7">
        <f>59500/1000</f>
        <v>59.5</v>
      </c>
    </row>
    <row r="366" spans="1:7" ht="89.25" x14ac:dyDescent="0.25">
      <c r="A366" s="4" t="s">
        <v>19</v>
      </c>
      <c r="B366" s="3" t="s">
        <v>195</v>
      </c>
      <c r="C366" s="17" t="s">
        <v>351</v>
      </c>
      <c r="D366" s="17" t="s">
        <v>356</v>
      </c>
      <c r="E366" s="3" t="s">
        <v>24</v>
      </c>
      <c r="F366" s="3" t="s">
        <v>20</v>
      </c>
      <c r="G366" s="7">
        <f>59500/1000</f>
        <v>59.5</v>
      </c>
    </row>
    <row r="367" spans="1:7" ht="63.75" x14ac:dyDescent="0.25">
      <c r="A367" s="4" t="s">
        <v>26</v>
      </c>
      <c r="B367" s="3" t="s">
        <v>195</v>
      </c>
      <c r="C367" s="17" t="s">
        <v>351</v>
      </c>
      <c r="D367" s="17" t="s">
        <v>356</v>
      </c>
      <c r="E367" s="3" t="s">
        <v>27</v>
      </c>
      <c r="F367" s="3" t="s">
        <v>8</v>
      </c>
      <c r="G367" s="7">
        <f>43500/1000</f>
        <v>43.5</v>
      </c>
    </row>
    <row r="368" spans="1:7" ht="89.25" x14ac:dyDescent="0.25">
      <c r="A368" s="4" t="s">
        <v>19</v>
      </c>
      <c r="B368" s="3" t="s">
        <v>195</v>
      </c>
      <c r="C368" s="17" t="s">
        <v>351</v>
      </c>
      <c r="D368" s="17" t="s">
        <v>356</v>
      </c>
      <c r="E368" s="3" t="s">
        <v>27</v>
      </c>
      <c r="F368" s="3" t="s">
        <v>20</v>
      </c>
      <c r="G368" s="7">
        <f>43500/1000</f>
        <v>43.5</v>
      </c>
    </row>
    <row r="369" spans="1:7" ht="38.25" x14ac:dyDescent="0.25">
      <c r="A369" s="4" t="s">
        <v>87</v>
      </c>
      <c r="B369" s="3" t="s">
        <v>195</v>
      </c>
      <c r="C369" s="17" t="s">
        <v>357</v>
      </c>
      <c r="D369" s="17" t="s">
        <v>353</v>
      </c>
      <c r="E369" s="3" t="s">
        <v>7</v>
      </c>
      <c r="F369" s="3" t="s">
        <v>8</v>
      </c>
      <c r="G369" s="7">
        <f>14012582.69/1000</f>
        <v>14012.582689999999</v>
      </c>
    </row>
    <row r="370" spans="1:7" ht="51" x14ac:dyDescent="0.25">
      <c r="A370" s="4" t="s">
        <v>88</v>
      </c>
      <c r="B370" s="3" t="s">
        <v>195</v>
      </c>
      <c r="C370" s="17" t="s">
        <v>357</v>
      </c>
      <c r="D370" s="17" t="s">
        <v>358</v>
      </c>
      <c r="E370" s="3" t="s">
        <v>7</v>
      </c>
      <c r="F370" s="3" t="s">
        <v>8</v>
      </c>
      <c r="G370" s="7">
        <f>14012582.69/1000</f>
        <v>14012.582689999999</v>
      </c>
    </row>
    <row r="371" spans="1:7" ht="114.75" x14ac:dyDescent="0.25">
      <c r="A371" s="4" t="s">
        <v>41</v>
      </c>
      <c r="B371" s="3" t="s">
        <v>195</v>
      </c>
      <c r="C371" s="17" t="s">
        <v>357</v>
      </c>
      <c r="D371" s="17" t="s">
        <v>358</v>
      </c>
      <c r="E371" s="3" t="s">
        <v>42</v>
      </c>
      <c r="F371" s="3" t="s">
        <v>8</v>
      </c>
      <c r="G371" s="7">
        <f>14012582.69/1000</f>
        <v>14012.582689999999</v>
      </c>
    </row>
    <row r="372" spans="1:7" ht="51" x14ac:dyDescent="0.25">
      <c r="A372" s="4" t="s">
        <v>91</v>
      </c>
      <c r="B372" s="3" t="s">
        <v>195</v>
      </c>
      <c r="C372" s="17" t="s">
        <v>357</v>
      </c>
      <c r="D372" s="17" t="s">
        <v>358</v>
      </c>
      <c r="E372" s="3" t="s">
        <v>92</v>
      </c>
      <c r="F372" s="3" t="s">
        <v>8</v>
      </c>
      <c r="G372" s="7">
        <f>1124677.75/1000</f>
        <v>1124.6777500000001</v>
      </c>
    </row>
    <row r="373" spans="1:7" ht="38.25" x14ac:dyDescent="0.25">
      <c r="A373" s="4" t="s">
        <v>31</v>
      </c>
      <c r="B373" s="3" t="s">
        <v>195</v>
      </c>
      <c r="C373" s="17" t="s">
        <v>357</v>
      </c>
      <c r="D373" s="17" t="s">
        <v>358</v>
      </c>
      <c r="E373" s="3" t="s">
        <v>92</v>
      </c>
      <c r="F373" s="3" t="s">
        <v>32</v>
      </c>
      <c r="G373" s="7">
        <f>1124677.75/1000</f>
        <v>1124.6777500000001</v>
      </c>
    </row>
    <row r="374" spans="1:7" ht="25.5" x14ac:dyDescent="0.25">
      <c r="A374" s="4" t="s">
        <v>45</v>
      </c>
      <c r="B374" s="3" t="s">
        <v>195</v>
      </c>
      <c r="C374" s="17" t="s">
        <v>357</v>
      </c>
      <c r="D374" s="17" t="s">
        <v>358</v>
      </c>
      <c r="E374" s="3" t="s">
        <v>93</v>
      </c>
      <c r="F374" s="3" t="s">
        <v>8</v>
      </c>
      <c r="G374" s="7">
        <f>12887904.94/1000</f>
        <v>12887.90494</v>
      </c>
    </row>
    <row r="375" spans="1:7" ht="89.25" x14ac:dyDescent="0.25">
      <c r="A375" s="4" t="s">
        <v>19</v>
      </c>
      <c r="B375" s="3" t="s">
        <v>195</v>
      </c>
      <c r="C375" s="17" t="s">
        <v>357</v>
      </c>
      <c r="D375" s="17" t="s">
        <v>358</v>
      </c>
      <c r="E375" s="3" t="s">
        <v>93</v>
      </c>
      <c r="F375" s="3" t="s">
        <v>20</v>
      </c>
      <c r="G375" s="7">
        <f>9791438.31/1000</f>
        <v>9791.4383100000014</v>
      </c>
    </row>
    <row r="376" spans="1:7" ht="38.25" x14ac:dyDescent="0.25">
      <c r="A376" s="4" t="s">
        <v>31</v>
      </c>
      <c r="B376" s="3" t="s">
        <v>195</v>
      </c>
      <c r="C376" s="17" t="s">
        <v>357</v>
      </c>
      <c r="D376" s="17" t="s">
        <v>358</v>
      </c>
      <c r="E376" s="3" t="s">
        <v>93</v>
      </c>
      <c r="F376" s="3" t="s">
        <v>32</v>
      </c>
      <c r="G376" s="7">
        <f>2929250.08/1000</f>
        <v>2929.2500800000003</v>
      </c>
    </row>
    <row r="377" spans="1:7" ht="25.5" x14ac:dyDescent="0.25">
      <c r="A377" s="4" t="s">
        <v>35</v>
      </c>
      <c r="B377" s="3" t="s">
        <v>195</v>
      </c>
      <c r="C377" s="17" t="s">
        <v>357</v>
      </c>
      <c r="D377" s="17" t="s">
        <v>358</v>
      </c>
      <c r="E377" s="3" t="s">
        <v>93</v>
      </c>
      <c r="F377" s="3" t="s">
        <v>36</v>
      </c>
      <c r="G377" s="7">
        <f>167216.55/1000</f>
        <v>167.21654999999998</v>
      </c>
    </row>
    <row r="378" spans="1:7" x14ac:dyDescent="0.25">
      <c r="A378" s="4" t="s">
        <v>104</v>
      </c>
      <c r="B378" s="3" t="s">
        <v>195</v>
      </c>
      <c r="C378" s="17" t="s">
        <v>354</v>
      </c>
      <c r="D378" s="17" t="s">
        <v>353</v>
      </c>
      <c r="E378" s="3" t="s">
        <v>7</v>
      </c>
      <c r="F378" s="3" t="s">
        <v>8</v>
      </c>
      <c r="G378" s="7">
        <f>7510128.6/1000</f>
        <v>7510.1286</v>
      </c>
    </row>
    <row r="379" spans="1:7" x14ac:dyDescent="0.25">
      <c r="A379" s="4" t="s">
        <v>105</v>
      </c>
      <c r="B379" s="3" t="s">
        <v>195</v>
      </c>
      <c r="C379" s="17" t="s">
        <v>354</v>
      </c>
      <c r="D379" s="17" t="s">
        <v>351</v>
      </c>
      <c r="E379" s="3" t="s">
        <v>7</v>
      </c>
      <c r="F379" s="3" t="s">
        <v>8</v>
      </c>
      <c r="G379" s="7">
        <f>551220.11/1000</f>
        <v>551.22010999999998</v>
      </c>
    </row>
    <row r="380" spans="1:7" ht="76.5" x14ac:dyDescent="0.25">
      <c r="A380" s="4" t="s">
        <v>107</v>
      </c>
      <c r="B380" s="3" t="s">
        <v>195</v>
      </c>
      <c r="C380" s="17" t="s">
        <v>354</v>
      </c>
      <c r="D380" s="17" t="s">
        <v>351</v>
      </c>
      <c r="E380" s="3" t="s">
        <v>108</v>
      </c>
      <c r="F380" s="3" t="s">
        <v>8</v>
      </c>
      <c r="G380" s="7">
        <f>551220.11/1000</f>
        <v>551.22010999999998</v>
      </c>
    </row>
    <row r="381" spans="1:7" ht="38.25" x14ac:dyDescent="0.25">
      <c r="A381" s="4" t="s">
        <v>109</v>
      </c>
      <c r="B381" s="3" t="s">
        <v>195</v>
      </c>
      <c r="C381" s="17" t="s">
        <v>354</v>
      </c>
      <c r="D381" s="17" t="s">
        <v>351</v>
      </c>
      <c r="E381" s="3" t="s">
        <v>110</v>
      </c>
      <c r="F381" s="3" t="s">
        <v>8</v>
      </c>
      <c r="G381" s="7">
        <f>551220.11/1000</f>
        <v>551.22010999999998</v>
      </c>
    </row>
    <row r="382" spans="1:7" ht="89.25" x14ac:dyDescent="0.25">
      <c r="A382" s="4" t="s">
        <v>19</v>
      </c>
      <c r="B382" s="3" t="s">
        <v>195</v>
      </c>
      <c r="C382" s="17" t="s">
        <v>354</v>
      </c>
      <c r="D382" s="17" t="s">
        <v>351</v>
      </c>
      <c r="E382" s="3" t="s">
        <v>110</v>
      </c>
      <c r="F382" s="3" t="s">
        <v>20</v>
      </c>
      <c r="G382" s="7">
        <f>551220.11/1000</f>
        <v>551.22010999999998</v>
      </c>
    </row>
    <row r="383" spans="1:7" ht="25.5" x14ac:dyDescent="0.25">
      <c r="A383" s="4" t="s">
        <v>117</v>
      </c>
      <c r="B383" s="3" t="s">
        <v>195</v>
      </c>
      <c r="C383" s="17" t="s">
        <v>354</v>
      </c>
      <c r="D383" s="17" t="s">
        <v>360</v>
      </c>
      <c r="E383" s="3" t="s">
        <v>7</v>
      </c>
      <c r="F383" s="3" t="s">
        <v>8</v>
      </c>
      <c r="G383" s="7">
        <f>6958908.49/1000</f>
        <v>6958.9084899999998</v>
      </c>
    </row>
    <row r="384" spans="1:7" ht="63.75" x14ac:dyDescent="0.25">
      <c r="A384" s="4" t="s">
        <v>13</v>
      </c>
      <c r="B384" s="3" t="s">
        <v>195</v>
      </c>
      <c r="C384" s="17" t="s">
        <v>354</v>
      </c>
      <c r="D384" s="17" t="s">
        <v>360</v>
      </c>
      <c r="E384" s="3" t="s">
        <v>14</v>
      </c>
      <c r="F384" s="3" t="s">
        <v>8</v>
      </c>
      <c r="G384" s="7">
        <f>6958908.49/1000</f>
        <v>6958.9084899999998</v>
      </c>
    </row>
    <row r="385" spans="1:7" ht="25.5" x14ac:dyDescent="0.25">
      <c r="A385" s="4" t="s">
        <v>118</v>
      </c>
      <c r="B385" s="3" t="s">
        <v>195</v>
      </c>
      <c r="C385" s="17" t="s">
        <v>354</v>
      </c>
      <c r="D385" s="17" t="s">
        <v>360</v>
      </c>
      <c r="E385" s="3" t="s">
        <v>119</v>
      </c>
      <c r="F385" s="3" t="s">
        <v>8</v>
      </c>
      <c r="G385" s="7">
        <f>6106992.95/1000</f>
        <v>6106.9929499999998</v>
      </c>
    </row>
    <row r="386" spans="1:7" ht="38.25" x14ac:dyDescent="0.25">
      <c r="A386" s="4" t="s">
        <v>31</v>
      </c>
      <c r="B386" s="3" t="s">
        <v>195</v>
      </c>
      <c r="C386" s="17" t="s">
        <v>354</v>
      </c>
      <c r="D386" s="17" t="s">
        <v>360</v>
      </c>
      <c r="E386" s="3" t="s">
        <v>119</v>
      </c>
      <c r="F386" s="3" t="s">
        <v>32</v>
      </c>
      <c r="G386" s="7">
        <f>6106992.95/1000</f>
        <v>6106.9929499999998</v>
      </c>
    </row>
    <row r="387" spans="1:7" ht="25.5" x14ac:dyDescent="0.25">
      <c r="A387" s="4" t="s">
        <v>21</v>
      </c>
      <c r="B387" s="3" t="s">
        <v>195</v>
      </c>
      <c r="C387" s="17" t="s">
        <v>354</v>
      </c>
      <c r="D387" s="17" t="s">
        <v>360</v>
      </c>
      <c r="E387" s="3" t="s">
        <v>22</v>
      </c>
      <c r="F387" s="3" t="s">
        <v>8</v>
      </c>
      <c r="G387" s="7">
        <f>851915.54/1000</f>
        <v>851.91554000000008</v>
      </c>
    </row>
    <row r="388" spans="1:7" ht="102" x14ac:dyDescent="0.25">
      <c r="A388" s="4" t="s">
        <v>120</v>
      </c>
      <c r="B388" s="3" t="s">
        <v>195</v>
      </c>
      <c r="C388" s="17" t="s">
        <v>354</v>
      </c>
      <c r="D388" s="17" t="s">
        <v>360</v>
      </c>
      <c r="E388" s="3" t="s">
        <v>121</v>
      </c>
      <c r="F388" s="3" t="s">
        <v>8</v>
      </c>
      <c r="G388" s="7">
        <f>843396/1000</f>
        <v>843.39599999999996</v>
      </c>
    </row>
    <row r="389" spans="1:7" ht="38.25" x14ac:dyDescent="0.25">
      <c r="A389" s="4" t="s">
        <v>31</v>
      </c>
      <c r="B389" s="3" t="s">
        <v>195</v>
      </c>
      <c r="C389" s="17" t="s">
        <v>354</v>
      </c>
      <c r="D389" s="17" t="s">
        <v>360</v>
      </c>
      <c r="E389" s="3" t="s">
        <v>121</v>
      </c>
      <c r="F389" s="3" t="s">
        <v>32</v>
      </c>
      <c r="G389" s="7">
        <f>843396/1000</f>
        <v>843.39599999999996</v>
      </c>
    </row>
    <row r="390" spans="1:7" ht="102" x14ac:dyDescent="0.25">
      <c r="A390" s="4" t="s">
        <v>120</v>
      </c>
      <c r="B390" s="3" t="s">
        <v>195</v>
      </c>
      <c r="C390" s="17" t="s">
        <v>354</v>
      </c>
      <c r="D390" s="17" t="s">
        <v>360</v>
      </c>
      <c r="E390" s="3" t="s">
        <v>122</v>
      </c>
      <c r="F390" s="3" t="s">
        <v>8</v>
      </c>
      <c r="G390" s="7">
        <f>8519.54/1000</f>
        <v>8.519540000000001</v>
      </c>
    </row>
    <row r="391" spans="1:7" ht="38.25" x14ac:dyDescent="0.25">
      <c r="A391" s="4" t="s">
        <v>31</v>
      </c>
      <c r="B391" s="3" t="s">
        <v>195</v>
      </c>
      <c r="C391" s="17" t="s">
        <v>354</v>
      </c>
      <c r="D391" s="17" t="s">
        <v>360</v>
      </c>
      <c r="E391" s="3" t="s">
        <v>122</v>
      </c>
      <c r="F391" s="3" t="s">
        <v>32</v>
      </c>
      <c r="G391" s="7">
        <f>8519.54/1000</f>
        <v>8.519540000000001</v>
      </c>
    </row>
    <row r="392" spans="1:7" ht="25.5" x14ac:dyDescent="0.25">
      <c r="A392" s="4" t="s">
        <v>131</v>
      </c>
      <c r="B392" s="3" t="s">
        <v>195</v>
      </c>
      <c r="C392" s="17" t="s">
        <v>355</v>
      </c>
      <c r="D392" s="17" t="s">
        <v>353</v>
      </c>
      <c r="E392" s="3" t="s">
        <v>7</v>
      </c>
      <c r="F392" s="3" t="s">
        <v>8</v>
      </c>
      <c r="G392" s="7">
        <f>2135689.92/1000</f>
        <v>2135.6899199999998</v>
      </c>
    </row>
    <row r="393" spans="1:7" x14ac:dyDescent="0.25">
      <c r="A393" s="4" t="s">
        <v>137</v>
      </c>
      <c r="B393" s="3" t="s">
        <v>195</v>
      </c>
      <c r="C393" s="17" t="s">
        <v>355</v>
      </c>
      <c r="D393" s="17" t="s">
        <v>352</v>
      </c>
      <c r="E393" s="3" t="s">
        <v>7</v>
      </c>
      <c r="F393" s="3" t="s">
        <v>8</v>
      </c>
      <c r="G393" s="7">
        <f>332200/1000</f>
        <v>332.2</v>
      </c>
    </row>
    <row r="394" spans="1:7" ht="63.75" x14ac:dyDescent="0.25">
      <c r="A394" s="4" t="s">
        <v>13</v>
      </c>
      <c r="B394" s="3" t="s">
        <v>195</v>
      </c>
      <c r="C394" s="17" t="s">
        <v>355</v>
      </c>
      <c r="D394" s="17" t="s">
        <v>352</v>
      </c>
      <c r="E394" s="3" t="s">
        <v>14</v>
      </c>
      <c r="F394" s="3" t="s">
        <v>8</v>
      </c>
      <c r="G394" s="7">
        <f>332200/1000</f>
        <v>332.2</v>
      </c>
    </row>
    <row r="395" spans="1:7" ht="76.5" x14ac:dyDescent="0.25">
      <c r="A395" s="4" t="s">
        <v>15</v>
      </c>
      <c r="B395" s="3" t="s">
        <v>195</v>
      </c>
      <c r="C395" s="17" t="s">
        <v>355</v>
      </c>
      <c r="D395" s="17" t="s">
        <v>352</v>
      </c>
      <c r="E395" s="3" t="s">
        <v>16</v>
      </c>
      <c r="F395" s="3" t="s">
        <v>8</v>
      </c>
      <c r="G395" s="7">
        <f>332200/1000</f>
        <v>332.2</v>
      </c>
    </row>
    <row r="396" spans="1:7" ht="51" x14ac:dyDescent="0.25">
      <c r="A396" s="4" t="s">
        <v>196</v>
      </c>
      <c r="B396" s="3" t="s">
        <v>195</v>
      </c>
      <c r="C396" s="17" t="s">
        <v>355</v>
      </c>
      <c r="D396" s="17" t="s">
        <v>352</v>
      </c>
      <c r="E396" s="3" t="s">
        <v>197</v>
      </c>
      <c r="F396" s="3" t="s">
        <v>8</v>
      </c>
      <c r="G396" s="7">
        <f>332200/1000</f>
        <v>332.2</v>
      </c>
    </row>
    <row r="397" spans="1:7" ht="38.25" x14ac:dyDescent="0.25">
      <c r="A397" s="4" t="s">
        <v>31</v>
      </c>
      <c r="B397" s="3" t="s">
        <v>195</v>
      </c>
      <c r="C397" s="17" t="s">
        <v>355</v>
      </c>
      <c r="D397" s="17" t="s">
        <v>352</v>
      </c>
      <c r="E397" s="3" t="s">
        <v>197</v>
      </c>
      <c r="F397" s="3" t="s">
        <v>32</v>
      </c>
      <c r="G397" s="7">
        <f>332200/1000</f>
        <v>332.2</v>
      </c>
    </row>
    <row r="398" spans="1:7" x14ac:dyDescent="0.25">
      <c r="A398" s="4" t="s">
        <v>146</v>
      </c>
      <c r="B398" s="3" t="s">
        <v>195</v>
      </c>
      <c r="C398" s="17" t="s">
        <v>355</v>
      </c>
      <c r="D398" s="17" t="s">
        <v>357</v>
      </c>
      <c r="E398" s="3" t="s">
        <v>7</v>
      </c>
      <c r="F398" s="3" t="s">
        <v>8</v>
      </c>
      <c r="G398" s="7">
        <f>1803489.92/1000</f>
        <v>1803.48992</v>
      </c>
    </row>
    <row r="399" spans="1:7" ht="63.75" x14ac:dyDescent="0.25">
      <c r="A399" s="4" t="s">
        <v>13</v>
      </c>
      <c r="B399" s="3" t="s">
        <v>195</v>
      </c>
      <c r="C399" s="17" t="s">
        <v>355</v>
      </c>
      <c r="D399" s="17" t="s">
        <v>357</v>
      </c>
      <c r="E399" s="3" t="s">
        <v>14</v>
      </c>
      <c r="F399" s="3" t="s">
        <v>8</v>
      </c>
      <c r="G399" s="7">
        <f>1803489.92/1000</f>
        <v>1803.48992</v>
      </c>
    </row>
    <row r="400" spans="1:7" ht="76.5" x14ac:dyDescent="0.25">
      <c r="A400" s="4" t="s">
        <v>15</v>
      </c>
      <c r="B400" s="3" t="s">
        <v>195</v>
      </c>
      <c r="C400" s="17" t="s">
        <v>355</v>
      </c>
      <c r="D400" s="17" t="s">
        <v>357</v>
      </c>
      <c r="E400" s="3" t="s">
        <v>16</v>
      </c>
      <c r="F400" s="3" t="s">
        <v>8</v>
      </c>
      <c r="G400" s="7">
        <f>1767489.92/1000</f>
        <v>1767.48992</v>
      </c>
    </row>
    <row r="401" spans="1:7" ht="51" x14ac:dyDescent="0.25">
      <c r="A401" s="4" t="s">
        <v>196</v>
      </c>
      <c r="B401" s="3" t="s">
        <v>195</v>
      </c>
      <c r="C401" s="17" t="s">
        <v>355</v>
      </c>
      <c r="D401" s="17" t="s">
        <v>357</v>
      </c>
      <c r="E401" s="3" t="s">
        <v>197</v>
      </c>
      <c r="F401" s="3" t="s">
        <v>8</v>
      </c>
      <c r="G401" s="7">
        <f>1767489.92/1000</f>
        <v>1767.48992</v>
      </c>
    </row>
    <row r="402" spans="1:7" ht="38.25" x14ac:dyDescent="0.25">
      <c r="A402" s="4" t="s">
        <v>31</v>
      </c>
      <c r="B402" s="3" t="s">
        <v>195</v>
      </c>
      <c r="C402" s="17" t="s">
        <v>355</v>
      </c>
      <c r="D402" s="17" t="s">
        <v>357</v>
      </c>
      <c r="E402" s="3" t="s">
        <v>197</v>
      </c>
      <c r="F402" s="3" t="s">
        <v>32</v>
      </c>
      <c r="G402" s="7">
        <f>1767489.92/1000</f>
        <v>1767.48992</v>
      </c>
    </row>
    <row r="403" spans="1:7" ht="63.75" x14ac:dyDescent="0.25">
      <c r="A403" s="4" t="s">
        <v>68</v>
      </c>
      <c r="B403" s="3" t="s">
        <v>195</v>
      </c>
      <c r="C403" s="17" t="s">
        <v>355</v>
      </c>
      <c r="D403" s="17" t="s">
        <v>357</v>
      </c>
      <c r="E403" s="3" t="s">
        <v>69</v>
      </c>
      <c r="F403" s="3" t="s">
        <v>8</v>
      </c>
      <c r="G403" s="7">
        <f>36000/1000</f>
        <v>36</v>
      </c>
    </row>
    <row r="404" spans="1:7" ht="25.5" x14ac:dyDescent="0.25">
      <c r="A404" s="4" t="s">
        <v>184</v>
      </c>
      <c r="B404" s="3" t="s">
        <v>195</v>
      </c>
      <c r="C404" s="17" t="s">
        <v>355</v>
      </c>
      <c r="D404" s="17" t="s">
        <v>357</v>
      </c>
      <c r="E404" s="3" t="s">
        <v>185</v>
      </c>
      <c r="F404" s="3" t="s">
        <v>8</v>
      </c>
      <c r="G404" s="7">
        <f>36000/1000</f>
        <v>36</v>
      </c>
    </row>
    <row r="405" spans="1:7" ht="38.25" x14ac:dyDescent="0.25">
      <c r="A405" s="4" t="s">
        <v>31</v>
      </c>
      <c r="B405" s="3" t="s">
        <v>195</v>
      </c>
      <c r="C405" s="17" t="s">
        <v>355</v>
      </c>
      <c r="D405" s="17" t="s">
        <v>357</v>
      </c>
      <c r="E405" s="3" t="s">
        <v>185</v>
      </c>
      <c r="F405" s="3" t="s">
        <v>32</v>
      </c>
      <c r="G405" s="7">
        <f>36000/1000</f>
        <v>36</v>
      </c>
    </row>
    <row r="406" spans="1:7" x14ac:dyDescent="0.25">
      <c r="A406" s="4" t="s">
        <v>192</v>
      </c>
      <c r="B406" s="3" t="s">
        <v>195</v>
      </c>
      <c r="C406" s="17" t="s">
        <v>364</v>
      </c>
      <c r="D406" s="17" t="s">
        <v>353</v>
      </c>
      <c r="E406" s="3" t="s">
        <v>7</v>
      </c>
      <c r="F406" s="3" t="s">
        <v>8</v>
      </c>
      <c r="G406" s="7">
        <f t="shared" ref="G406:G411" si="3">586751.72/1000</f>
        <v>586.75171999999998</v>
      </c>
    </row>
    <row r="407" spans="1:7" x14ac:dyDescent="0.25">
      <c r="A407" s="4" t="s">
        <v>193</v>
      </c>
      <c r="B407" s="3" t="s">
        <v>195</v>
      </c>
      <c r="C407" s="17" t="s">
        <v>364</v>
      </c>
      <c r="D407" s="17" t="s">
        <v>351</v>
      </c>
      <c r="E407" s="3" t="s">
        <v>7</v>
      </c>
      <c r="F407" s="3" t="s">
        <v>8</v>
      </c>
      <c r="G407" s="7">
        <f t="shared" si="3"/>
        <v>586.75171999999998</v>
      </c>
    </row>
    <row r="408" spans="1:7" ht="63.75" x14ac:dyDescent="0.25">
      <c r="A408" s="4" t="s">
        <v>13</v>
      </c>
      <c r="B408" s="3" t="s">
        <v>195</v>
      </c>
      <c r="C408" s="17" t="s">
        <v>364</v>
      </c>
      <c r="D408" s="17" t="s">
        <v>351</v>
      </c>
      <c r="E408" s="3" t="s">
        <v>14</v>
      </c>
      <c r="F408" s="3" t="s">
        <v>8</v>
      </c>
      <c r="G408" s="7">
        <f t="shared" si="3"/>
        <v>586.75171999999998</v>
      </c>
    </row>
    <row r="409" spans="1:7" ht="76.5" x14ac:dyDescent="0.25">
      <c r="A409" s="4" t="s">
        <v>15</v>
      </c>
      <c r="B409" s="3" t="s">
        <v>195</v>
      </c>
      <c r="C409" s="17" t="s">
        <v>364</v>
      </c>
      <c r="D409" s="17" t="s">
        <v>351</v>
      </c>
      <c r="E409" s="3" t="s">
        <v>16</v>
      </c>
      <c r="F409" s="3" t="s">
        <v>8</v>
      </c>
      <c r="G409" s="7">
        <f t="shared" si="3"/>
        <v>586.75171999999998</v>
      </c>
    </row>
    <row r="410" spans="1:7" ht="51" x14ac:dyDescent="0.25">
      <c r="A410" s="4" t="s">
        <v>196</v>
      </c>
      <c r="B410" s="3" t="s">
        <v>195</v>
      </c>
      <c r="C410" s="17" t="s">
        <v>364</v>
      </c>
      <c r="D410" s="17" t="s">
        <v>351</v>
      </c>
      <c r="E410" s="3" t="s">
        <v>197</v>
      </c>
      <c r="F410" s="3" t="s">
        <v>8</v>
      </c>
      <c r="G410" s="7">
        <f t="shared" si="3"/>
        <v>586.75171999999998</v>
      </c>
    </row>
    <row r="411" spans="1:7" ht="38.25" x14ac:dyDescent="0.25">
      <c r="A411" s="4" t="s">
        <v>31</v>
      </c>
      <c r="B411" s="3" t="s">
        <v>195</v>
      </c>
      <c r="C411" s="17" t="s">
        <v>364</v>
      </c>
      <c r="D411" s="17" t="s">
        <v>351</v>
      </c>
      <c r="E411" s="3" t="s">
        <v>197</v>
      </c>
      <c r="F411" s="3" t="s">
        <v>32</v>
      </c>
      <c r="G411" s="7">
        <f t="shared" si="3"/>
        <v>586.75171999999998</v>
      </c>
    </row>
    <row r="412" spans="1:7" ht="63.75" x14ac:dyDescent="0.25">
      <c r="A412" s="11" t="s">
        <v>198</v>
      </c>
      <c r="B412" s="12" t="s">
        <v>199</v>
      </c>
      <c r="C412" s="18" t="s">
        <v>353</v>
      </c>
      <c r="D412" s="18" t="s">
        <v>353</v>
      </c>
      <c r="E412" s="12" t="s">
        <v>7</v>
      </c>
      <c r="F412" s="12" t="s">
        <v>8</v>
      </c>
      <c r="G412" s="14">
        <f>24741808.62/1000</f>
        <v>24741.80862</v>
      </c>
    </row>
    <row r="413" spans="1:7" ht="25.5" x14ac:dyDescent="0.25">
      <c r="A413" s="4" t="s">
        <v>11</v>
      </c>
      <c r="B413" s="3" t="s">
        <v>199</v>
      </c>
      <c r="C413" s="17" t="s">
        <v>351</v>
      </c>
      <c r="D413" s="17" t="s">
        <v>353</v>
      </c>
      <c r="E413" s="3" t="s">
        <v>7</v>
      </c>
      <c r="F413" s="3" t="s">
        <v>8</v>
      </c>
      <c r="G413" s="7">
        <f>7901379.35/1000</f>
        <v>7901.3793499999992</v>
      </c>
    </row>
    <row r="414" spans="1:7" ht="25.5" x14ac:dyDescent="0.25">
      <c r="A414" s="4" t="s">
        <v>40</v>
      </c>
      <c r="B414" s="3" t="s">
        <v>199</v>
      </c>
      <c r="C414" s="17" t="s">
        <v>351</v>
      </c>
      <c r="D414" s="17" t="s">
        <v>356</v>
      </c>
      <c r="E414" s="3" t="s">
        <v>7</v>
      </c>
      <c r="F414" s="3" t="s">
        <v>8</v>
      </c>
      <c r="G414" s="7">
        <f>7901379.35/1000</f>
        <v>7901.3793499999992</v>
      </c>
    </row>
    <row r="415" spans="1:7" ht="63.75" x14ac:dyDescent="0.25">
      <c r="A415" s="4" t="s">
        <v>13</v>
      </c>
      <c r="B415" s="3" t="s">
        <v>199</v>
      </c>
      <c r="C415" s="17" t="s">
        <v>351</v>
      </c>
      <c r="D415" s="17" t="s">
        <v>356</v>
      </c>
      <c r="E415" s="3" t="s">
        <v>14</v>
      </c>
      <c r="F415" s="3" t="s">
        <v>8</v>
      </c>
      <c r="G415" s="7">
        <f>7901379.35/1000</f>
        <v>7901.3793499999992</v>
      </c>
    </row>
    <row r="416" spans="1:7" ht="76.5" x14ac:dyDescent="0.25">
      <c r="A416" s="4" t="s">
        <v>15</v>
      </c>
      <c r="B416" s="3" t="s">
        <v>199</v>
      </c>
      <c r="C416" s="17" t="s">
        <v>351</v>
      </c>
      <c r="D416" s="17" t="s">
        <v>356</v>
      </c>
      <c r="E416" s="3" t="s">
        <v>16</v>
      </c>
      <c r="F416" s="3" t="s">
        <v>8</v>
      </c>
      <c r="G416" s="7">
        <f>7736502.49/1000</f>
        <v>7736.5024899999999</v>
      </c>
    </row>
    <row r="417" spans="1:7" ht="38.25" x14ac:dyDescent="0.25">
      <c r="A417" s="4" t="s">
        <v>200</v>
      </c>
      <c r="B417" s="3" t="s">
        <v>199</v>
      </c>
      <c r="C417" s="17" t="s">
        <v>351</v>
      </c>
      <c r="D417" s="17" t="s">
        <v>356</v>
      </c>
      <c r="E417" s="3" t="s">
        <v>201</v>
      </c>
      <c r="F417" s="3" t="s">
        <v>8</v>
      </c>
      <c r="G417" s="7">
        <f>7736502.49/1000</f>
        <v>7736.5024899999999</v>
      </c>
    </row>
    <row r="418" spans="1:7" ht="89.25" x14ac:dyDescent="0.25">
      <c r="A418" s="4" t="s">
        <v>19</v>
      </c>
      <c r="B418" s="3" t="s">
        <v>199</v>
      </c>
      <c r="C418" s="17" t="s">
        <v>351</v>
      </c>
      <c r="D418" s="17" t="s">
        <v>356</v>
      </c>
      <c r="E418" s="3" t="s">
        <v>201</v>
      </c>
      <c r="F418" s="3" t="s">
        <v>20</v>
      </c>
      <c r="G418" s="7">
        <f>6619685.71/1000</f>
        <v>6619.6857099999997</v>
      </c>
    </row>
    <row r="419" spans="1:7" ht="38.25" x14ac:dyDescent="0.25">
      <c r="A419" s="4" t="s">
        <v>31</v>
      </c>
      <c r="B419" s="3" t="s">
        <v>199</v>
      </c>
      <c r="C419" s="17" t="s">
        <v>351</v>
      </c>
      <c r="D419" s="17" t="s">
        <v>356</v>
      </c>
      <c r="E419" s="3" t="s">
        <v>201</v>
      </c>
      <c r="F419" s="3" t="s">
        <v>32</v>
      </c>
      <c r="G419" s="7">
        <f>1104400/1000</f>
        <v>1104.4000000000001</v>
      </c>
    </row>
    <row r="420" spans="1:7" ht="25.5" x14ac:dyDescent="0.25">
      <c r="A420" s="4" t="s">
        <v>35</v>
      </c>
      <c r="B420" s="3" t="s">
        <v>199</v>
      </c>
      <c r="C420" s="17" t="s">
        <v>351</v>
      </c>
      <c r="D420" s="17" t="s">
        <v>356</v>
      </c>
      <c r="E420" s="3" t="s">
        <v>201</v>
      </c>
      <c r="F420" s="3" t="s">
        <v>36</v>
      </c>
      <c r="G420" s="7">
        <f>12416.78/1000</f>
        <v>12.416780000000001</v>
      </c>
    </row>
    <row r="421" spans="1:7" ht="25.5" x14ac:dyDescent="0.25">
      <c r="A421" s="4" t="s">
        <v>62</v>
      </c>
      <c r="B421" s="3" t="s">
        <v>199</v>
      </c>
      <c r="C421" s="17" t="s">
        <v>351</v>
      </c>
      <c r="D421" s="17" t="s">
        <v>356</v>
      </c>
      <c r="E421" s="3" t="s">
        <v>63</v>
      </c>
      <c r="F421" s="3" t="s">
        <v>8</v>
      </c>
      <c r="G421" s="7">
        <f>80876.86/1000</f>
        <v>80.876859999999994</v>
      </c>
    </row>
    <row r="422" spans="1:7" ht="25.5" x14ac:dyDescent="0.25">
      <c r="A422" s="4" t="s">
        <v>66</v>
      </c>
      <c r="B422" s="3" t="s">
        <v>199</v>
      </c>
      <c r="C422" s="17" t="s">
        <v>351</v>
      </c>
      <c r="D422" s="17" t="s">
        <v>356</v>
      </c>
      <c r="E422" s="3" t="s">
        <v>67</v>
      </c>
      <c r="F422" s="3" t="s">
        <v>8</v>
      </c>
      <c r="G422" s="7">
        <f>80876.86/1000</f>
        <v>80.876859999999994</v>
      </c>
    </row>
    <row r="423" spans="1:7" ht="38.25" x14ac:dyDescent="0.25">
      <c r="A423" s="4" t="s">
        <v>31</v>
      </c>
      <c r="B423" s="3" t="s">
        <v>199</v>
      </c>
      <c r="C423" s="17" t="s">
        <v>351</v>
      </c>
      <c r="D423" s="17" t="s">
        <v>356</v>
      </c>
      <c r="E423" s="3" t="s">
        <v>67</v>
      </c>
      <c r="F423" s="3" t="s">
        <v>32</v>
      </c>
      <c r="G423" s="7">
        <f>80876.86/1000</f>
        <v>80.876859999999994</v>
      </c>
    </row>
    <row r="424" spans="1:7" ht="25.5" x14ac:dyDescent="0.25">
      <c r="A424" s="4" t="s">
        <v>21</v>
      </c>
      <c r="B424" s="3" t="s">
        <v>199</v>
      </c>
      <c r="C424" s="17" t="s">
        <v>351</v>
      </c>
      <c r="D424" s="17" t="s">
        <v>356</v>
      </c>
      <c r="E424" s="3" t="s">
        <v>22</v>
      </c>
      <c r="F424" s="3" t="s">
        <v>8</v>
      </c>
      <c r="G424" s="7">
        <f>84000/1000</f>
        <v>84</v>
      </c>
    </row>
    <row r="425" spans="1:7" ht="25.5" x14ac:dyDescent="0.25">
      <c r="A425" s="4" t="s">
        <v>23</v>
      </c>
      <c r="B425" s="3" t="s">
        <v>199</v>
      </c>
      <c r="C425" s="17" t="s">
        <v>351</v>
      </c>
      <c r="D425" s="17" t="s">
        <v>356</v>
      </c>
      <c r="E425" s="3" t="s">
        <v>24</v>
      </c>
      <c r="F425" s="3" t="s">
        <v>8</v>
      </c>
      <c r="G425" s="7">
        <f>84000/1000</f>
        <v>84</v>
      </c>
    </row>
    <row r="426" spans="1:7" ht="25.5" x14ac:dyDescent="0.25">
      <c r="A426" s="4" t="s">
        <v>25</v>
      </c>
      <c r="B426" s="3" t="s">
        <v>199</v>
      </c>
      <c r="C426" s="17" t="s">
        <v>351</v>
      </c>
      <c r="D426" s="17" t="s">
        <v>356</v>
      </c>
      <c r="E426" s="3" t="s">
        <v>24</v>
      </c>
      <c r="F426" s="3" t="s">
        <v>8</v>
      </c>
      <c r="G426" s="7">
        <f>61000/1000</f>
        <v>61</v>
      </c>
    </row>
    <row r="427" spans="1:7" ht="89.25" x14ac:dyDescent="0.25">
      <c r="A427" s="4" t="s">
        <v>19</v>
      </c>
      <c r="B427" s="3" t="s">
        <v>199</v>
      </c>
      <c r="C427" s="17" t="s">
        <v>351</v>
      </c>
      <c r="D427" s="17" t="s">
        <v>356</v>
      </c>
      <c r="E427" s="3" t="s">
        <v>24</v>
      </c>
      <c r="F427" s="3" t="s">
        <v>20</v>
      </c>
      <c r="G427" s="7">
        <f>61000/1000</f>
        <v>61</v>
      </c>
    </row>
    <row r="428" spans="1:7" ht="63.75" x14ac:dyDescent="0.25">
      <c r="A428" s="4" t="s">
        <v>26</v>
      </c>
      <c r="B428" s="3" t="s">
        <v>199</v>
      </c>
      <c r="C428" s="17" t="s">
        <v>351</v>
      </c>
      <c r="D428" s="17" t="s">
        <v>356</v>
      </c>
      <c r="E428" s="3" t="s">
        <v>27</v>
      </c>
      <c r="F428" s="3" t="s">
        <v>8</v>
      </c>
      <c r="G428" s="7">
        <f>23000/1000</f>
        <v>23</v>
      </c>
    </row>
    <row r="429" spans="1:7" ht="89.25" x14ac:dyDescent="0.25">
      <c r="A429" s="4" t="s">
        <v>19</v>
      </c>
      <c r="B429" s="3" t="s">
        <v>199</v>
      </c>
      <c r="C429" s="17" t="s">
        <v>351</v>
      </c>
      <c r="D429" s="17" t="s">
        <v>356</v>
      </c>
      <c r="E429" s="3" t="s">
        <v>27</v>
      </c>
      <c r="F429" s="3" t="s">
        <v>20</v>
      </c>
      <c r="G429" s="7">
        <f>23000/1000</f>
        <v>23</v>
      </c>
    </row>
    <row r="430" spans="1:7" ht="38.25" x14ac:dyDescent="0.25">
      <c r="A430" s="4" t="s">
        <v>87</v>
      </c>
      <c r="B430" s="3" t="s">
        <v>199</v>
      </c>
      <c r="C430" s="17" t="s">
        <v>357</v>
      </c>
      <c r="D430" s="17" t="s">
        <v>353</v>
      </c>
      <c r="E430" s="3" t="s">
        <v>7</v>
      </c>
      <c r="F430" s="3" t="s">
        <v>8</v>
      </c>
      <c r="G430" s="7">
        <f>7552770.6/1000</f>
        <v>7552.7705999999998</v>
      </c>
    </row>
    <row r="431" spans="1:7" ht="51" x14ac:dyDescent="0.25">
      <c r="A431" s="4" t="s">
        <v>88</v>
      </c>
      <c r="B431" s="3" t="s">
        <v>199</v>
      </c>
      <c r="C431" s="17" t="s">
        <v>357</v>
      </c>
      <c r="D431" s="17" t="s">
        <v>358</v>
      </c>
      <c r="E431" s="3" t="s">
        <v>7</v>
      </c>
      <c r="F431" s="3" t="s">
        <v>8</v>
      </c>
      <c r="G431" s="7">
        <f>7552770.6/1000</f>
        <v>7552.7705999999998</v>
      </c>
    </row>
    <row r="432" spans="1:7" ht="114.75" x14ac:dyDescent="0.25">
      <c r="A432" s="4" t="s">
        <v>41</v>
      </c>
      <c r="B432" s="3" t="s">
        <v>199</v>
      </c>
      <c r="C432" s="17" t="s">
        <v>357</v>
      </c>
      <c r="D432" s="17" t="s">
        <v>358</v>
      </c>
      <c r="E432" s="3" t="s">
        <v>42</v>
      </c>
      <c r="F432" s="3" t="s">
        <v>8</v>
      </c>
      <c r="G432" s="7">
        <f>7552770.6/1000</f>
        <v>7552.7705999999998</v>
      </c>
    </row>
    <row r="433" spans="1:7" ht="51" x14ac:dyDescent="0.25">
      <c r="A433" s="4" t="s">
        <v>91</v>
      </c>
      <c r="B433" s="3" t="s">
        <v>199</v>
      </c>
      <c r="C433" s="17" t="s">
        <v>357</v>
      </c>
      <c r="D433" s="17" t="s">
        <v>358</v>
      </c>
      <c r="E433" s="3" t="s">
        <v>92</v>
      </c>
      <c r="F433" s="3" t="s">
        <v>8</v>
      </c>
      <c r="G433" s="7">
        <f>625622.42/1000</f>
        <v>625.62242000000003</v>
      </c>
    </row>
    <row r="434" spans="1:7" ht="38.25" x14ac:dyDescent="0.25">
      <c r="A434" s="4" t="s">
        <v>31</v>
      </c>
      <c r="B434" s="3" t="s">
        <v>199</v>
      </c>
      <c r="C434" s="17" t="s">
        <v>357</v>
      </c>
      <c r="D434" s="17" t="s">
        <v>358</v>
      </c>
      <c r="E434" s="3" t="s">
        <v>92</v>
      </c>
      <c r="F434" s="3" t="s">
        <v>32</v>
      </c>
      <c r="G434" s="7">
        <f>625622.42/1000</f>
        <v>625.62242000000003</v>
      </c>
    </row>
    <row r="435" spans="1:7" ht="25.5" x14ac:dyDescent="0.25">
      <c r="A435" s="4" t="s">
        <v>45</v>
      </c>
      <c r="B435" s="3" t="s">
        <v>199</v>
      </c>
      <c r="C435" s="17" t="s">
        <v>357</v>
      </c>
      <c r="D435" s="17" t="s">
        <v>358</v>
      </c>
      <c r="E435" s="3" t="s">
        <v>93</v>
      </c>
      <c r="F435" s="3" t="s">
        <v>8</v>
      </c>
      <c r="G435" s="7">
        <f>6927148.18/1000</f>
        <v>6927.1481800000001</v>
      </c>
    </row>
    <row r="436" spans="1:7" ht="89.25" x14ac:dyDescent="0.25">
      <c r="A436" s="4" t="s">
        <v>19</v>
      </c>
      <c r="B436" s="3" t="s">
        <v>199</v>
      </c>
      <c r="C436" s="17" t="s">
        <v>357</v>
      </c>
      <c r="D436" s="17" t="s">
        <v>358</v>
      </c>
      <c r="E436" s="3" t="s">
        <v>93</v>
      </c>
      <c r="F436" s="3" t="s">
        <v>20</v>
      </c>
      <c r="G436" s="7">
        <f>5929378.22/1000</f>
        <v>5929.3782199999996</v>
      </c>
    </row>
    <row r="437" spans="1:7" ht="38.25" x14ac:dyDescent="0.25">
      <c r="A437" s="4" t="s">
        <v>31</v>
      </c>
      <c r="B437" s="3" t="s">
        <v>199</v>
      </c>
      <c r="C437" s="17" t="s">
        <v>357</v>
      </c>
      <c r="D437" s="17" t="s">
        <v>358</v>
      </c>
      <c r="E437" s="3" t="s">
        <v>93</v>
      </c>
      <c r="F437" s="3" t="s">
        <v>32</v>
      </c>
      <c r="G437" s="7">
        <f>997769.96/1000</f>
        <v>997.76995999999997</v>
      </c>
    </row>
    <row r="438" spans="1:7" x14ac:dyDescent="0.25">
      <c r="A438" s="4" t="s">
        <v>104</v>
      </c>
      <c r="B438" s="3" t="s">
        <v>199</v>
      </c>
      <c r="C438" s="17" t="s">
        <v>354</v>
      </c>
      <c r="D438" s="17" t="s">
        <v>353</v>
      </c>
      <c r="E438" s="3" t="s">
        <v>7</v>
      </c>
      <c r="F438" s="3" t="s">
        <v>8</v>
      </c>
      <c r="G438" s="7">
        <f>7599958.67/1000</f>
        <v>7599.95867</v>
      </c>
    </row>
    <row r="439" spans="1:7" x14ac:dyDescent="0.25">
      <c r="A439" s="4" t="s">
        <v>105</v>
      </c>
      <c r="B439" s="3" t="s">
        <v>199</v>
      </c>
      <c r="C439" s="17" t="s">
        <v>354</v>
      </c>
      <c r="D439" s="17" t="s">
        <v>351</v>
      </c>
      <c r="E439" s="3" t="s">
        <v>7</v>
      </c>
      <c r="F439" s="3" t="s">
        <v>8</v>
      </c>
      <c r="G439" s="7">
        <f>217425.84/1000</f>
        <v>217.42583999999999</v>
      </c>
    </row>
    <row r="440" spans="1:7" ht="76.5" x14ac:dyDescent="0.25">
      <c r="A440" s="4" t="s">
        <v>107</v>
      </c>
      <c r="B440" s="3" t="s">
        <v>199</v>
      </c>
      <c r="C440" s="17" t="s">
        <v>354</v>
      </c>
      <c r="D440" s="17" t="s">
        <v>351</v>
      </c>
      <c r="E440" s="3" t="s">
        <v>108</v>
      </c>
      <c r="F440" s="3" t="s">
        <v>8</v>
      </c>
      <c r="G440" s="7">
        <f>217425.84/1000</f>
        <v>217.42583999999999</v>
      </c>
    </row>
    <row r="441" spans="1:7" ht="38.25" x14ac:dyDescent="0.25">
      <c r="A441" s="4" t="s">
        <v>109</v>
      </c>
      <c r="B441" s="3" t="s">
        <v>199</v>
      </c>
      <c r="C441" s="17" t="s">
        <v>354</v>
      </c>
      <c r="D441" s="17" t="s">
        <v>351</v>
      </c>
      <c r="E441" s="3" t="s">
        <v>110</v>
      </c>
      <c r="F441" s="3" t="s">
        <v>8</v>
      </c>
      <c r="G441" s="7">
        <f>217425.84/1000</f>
        <v>217.42583999999999</v>
      </c>
    </row>
    <row r="442" spans="1:7" ht="89.25" x14ac:dyDescent="0.25">
      <c r="A442" s="4" t="s">
        <v>19</v>
      </c>
      <c r="B442" s="3" t="s">
        <v>199</v>
      </c>
      <c r="C442" s="17" t="s">
        <v>354</v>
      </c>
      <c r="D442" s="17" t="s">
        <v>351</v>
      </c>
      <c r="E442" s="3" t="s">
        <v>110</v>
      </c>
      <c r="F442" s="3" t="s">
        <v>20</v>
      </c>
      <c r="G442" s="7">
        <f>217425.84/1000</f>
        <v>217.42583999999999</v>
      </c>
    </row>
    <row r="443" spans="1:7" ht="25.5" x14ac:dyDescent="0.25">
      <c r="A443" s="4" t="s">
        <v>117</v>
      </c>
      <c r="B443" s="3" t="s">
        <v>199</v>
      </c>
      <c r="C443" s="17" t="s">
        <v>354</v>
      </c>
      <c r="D443" s="17" t="s">
        <v>360</v>
      </c>
      <c r="E443" s="3" t="s">
        <v>7</v>
      </c>
      <c r="F443" s="3" t="s">
        <v>8</v>
      </c>
      <c r="G443" s="7">
        <f>7382532.83/1000</f>
        <v>7382.5328300000001</v>
      </c>
    </row>
    <row r="444" spans="1:7" ht="63.75" x14ac:dyDescent="0.25">
      <c r="A444" s="4" t="s">
        <v>13</v>
      </c>
      <c r="B444" s="3" t="s">
        <v>199</v>
      </c>
      <c r="C444" s="17" t="s">
        <v>354</v>
      </c>
      <c r="D444" s="17" t="s">
        <v>360</v>
      </c>
      <c r="E444" s="3" t="s">
        <v>14</v>
      </c>
      <c r="F444" s="3" t="s">
        <v>8</v>
      </c>
      <c r="G444" s="7">
        <f>7382532.83/1000</f>
        <v>7382.5328300000001</v>
      </c>
    </row>
    <row r="445" spans="1:7" ht="25.5" x14ac:dyDescent="0.25">
      <c r="A445" s="4" t="s">
        <v>118</v>
      </c>
      <c r="B445" s="3" t="s">
        <v>199</v>
      </c>
      <c r="C445" s="17" t="s">
        <v>354</v>
      </c>
      <c r="D445" s="17" t="s">
        <v>360</v>
      </c>
      <c r="E445" s="3" t="s">
        <v>119</v>
      </c>
      <c r="F445" s="3" t="s">
        <v>8</v>
      </c>
      <c r="G445" s="7">
        <f>4294969.66/1000</f>
        <v>4294.9696599999997</v>
      </c>
    </row>
    <row r="446" spans="1:7" ht="38.25" x14ac:dyDescent="0.25">
      <c r="A446" s="4" t="s">
        <v>31</v>
      </c>
      <c r="B446" s="3" t="s">
        <v>199</v>
      </c>
      <c r="C446" s="17" t="s">
        <v>354</v>
      </c>
      <c r="D446" s="17" t="s">
        <v>360</v>
      </c>
      <c r="E446" s="3" t="s">
        <v>119</v>
      </c>
      <c r="F446" s="3" t="s">
        <v>32</v>
      </c>
      <c r="G446" s="7">
        <f>4294969.66/1000</f>
        <v>4294.9696599999997</v>
      </c>
    </row>
    <row r="447" spans="1:7" ht="25.5" x14ac:dyDescent="0.25">
      <c r="A447" s="4" t="s">
        <v>21</v>
      </c>
      <c r="B447" s="3" t="s">
        <v>199</v>
      </c>
      <c r="C447" s="17" t="s">
        <v>354</v>
      </c>
      <c r="D447" s="17" t="s">
        <v>360</v>
      </c>
      <c r="E447" s="3" t="s">
        <v>22</v>
      </c>
      <c r="F447" s="3" t="s">
        <v>8</v>
      </c>
      <c r="G447" s="7">
        <f>3087563.17/1000</f>
        <v>3087.5631699999999</v>
      </c>
    </row>
    <row r="448" spans="1:7" ht="102" x14ac:dyDescent="0.25">
      <c r="A448" s="4" t="s">
        <v>120</v>
      </c>
      <c r="B448" s="3" t="s">
        <v>199</v>
      </c>
      <c r="C448" s="17" t="s">
        <v>354</v>
      </c>
      <c r="D448" s="17" t="s">
        <v>360</v>
      </c>
      <c r="E448" s="3" t="s">
        <v>121</v>
      </c>
      <c r="F448" s="3" t="s">
        <v>8</v>
      </c>
      <c r="G448" s="7">
        <f>3056687/1000</f>
        <v>3056.6869999999999</v>
      </c>
    </row>
    <row r="449" spans="1:7" ht="38.25" x14ac:dyDescent="0.25">
      <c r="A449" s="4" t="s">
        <v>31</v>
      </c>
      <c r="B449" s="3" t="s">
        <v>199</v>
      </c>
      <c r="C449" s="17" t="s">
        <v>354</v>
      </c>
      <c r="D449" s="17" t="s">
        <v>360</v>
      </c>
      <c r="E449" s="3" t="s">
        <v>121</v>
      </c>
      <c r="F449" s="3" t="s">
        <v>32</v>
      </c>
      <c r="G449" s="7">
        <f>3056687/1000</f>
        <v>3056.6869999999999</v>
      </c>
    </row>
    <row r="450" spans="1:7" ht="102" x14ac:dyDescent="0.25">
      <c r="A450" s="4" t="s">
        <v>120</v>
      </c>
      <c r="B450" s="3" t="s">
        <v>199</v>
      </c>
      <c r="C450" s="17" t="s">
        <v>354</v>
      </c>
      <c r="D450" s="17" t="s">
        <v>360</v>
      </c>
      <c r="E450" s="3" t="s">
        <v>122</v>
      </c>
      <c r="F450" s="3" t="s">
        <v>8</v>
      </c>
      <c r="G450" s="7">
        <f>30876.17/1000</f>
        <v>30.876169999999998</v>
      </c>
    </row>
    <row r="451" spans="1:7" ht="38.25" x14ac:dyDescent="0.25">
      <c r="A451" s="4" t="s">
        <v>31</v>
      </c>
      <c r="B451" s="3" t="s">
        <v>199</v>
      </c>
      <c r="C451" s="17" t="s">
        <v>354</v>
      </c>
      <c r="D451" s="17" t="s">
        <v>360</v>
      </c>
      <c r="E451" s="3" t="s">
        <v>122</v>
      </c>
      <c r="F451" s="3" t="s">
        <v>32</v>
      </c>
      <c r="G451" s="7">
        <f>30876.17/1000</f>
        <v>30.876169999999998</v>
      </c>
    </row>
    <row r="452" spans="1:7" ht="25.5" x14ac:dyDescent="0.25">
      <c r="A452" s="4" t="s">
        <v>131</v>
      </c>
      <c r="B452" s="3" t="s">
        <v>199</v>
      </c>
      <c r="C452" s="17" t="s">
        <v>355</v>
      </c>
      <c r="D452" s="17" t="s">
        <v>353</v>
      </c>
      <c r="E452" s="3" t="s">
        <v>7</v>
      </c>
      <c r="F452" s="3" t="s">
        <v>8</v>
      </c>
      <c r="G452" s="7">
        <f>1137700/1000</f>
        <v>1137.7</v>
      </c>
    </row>
    <row r="453" spans="1:7" x14ac:dyDescent="0.25">
      <c r="A453" s="4" t="s">
        <v>146</v>
      </c>
      <c r="B453" s="3" t="s">
        <v>199</v>
      </c>
      <c r="C453" s="17" t="s">
        <v>355</v>
      </c>
      <c r="D453" s="17" t="s">
        <v>357</v>
      </c>
      <c r="E453" s="3" t="s">
        <v>7</v>
      </c>
      <c r="F453" s="3" t="s">
        <v>8</v>
      </c>
      <c r="G453" s="7">
        <f>1137700/1000</f>
        <v>1137.7</v>
      </c>
    </row>
    <row r="454" spans="1:7" ht="63.75" x14ac:dyDescent="0.25">
      <c r="A454" s="4" t="s">
        <v>47</v>
      </c>
      <c r="B454" s="3" t="s">
        <v>199</v>
      </c>
      <c r="C454" s="17" t="s">
        <v>355</v>
      </c>
      <c r="D454" s="17" t="s">
        <v>357</v>
      </c>
      <c r="E454" s="3" t="s">
        <v>48</v>
      </c>
      <c r="F454" s="3" t="s">
        <v>8</v>
      </c>
      <c r="G454" s="7">
        <f>3500/1000</f>
        <v>3.5</v>
      </c>
    </row>
    <row r="455" spans="1:7" ht="89.25" x14ac:dyDescent="0.25">
      <c r="A455" s="4" t="s">
        <v>140</v>
      </c>
      <c r="B455" s="3" t="s">
        <v>199</v>
      </c>
      <c r="C455" s="17" t="s">
        <v>355</v>
      </c>
      <c r="D455" s="17" t="s">
        <v>357</v>
      </c>
      <c r="E455" s="3" t="s">
        <v>141</v>
      </c>
      <c r="F455" s="3" t="s">
        <v>8</v>
      </c>
      <c r="G455" s="7">
        <f>3500/1000</f>
        <v>3.5</v>
      </c>
    </row>
    <row r="456" spans="1:7" ht="25.5" x14ac:dyDescent="0.25">
      <c r="A456" s="4" t="s">
        <v>45</v>
      </c>
      <c r="B456" s="3" t="s">
        <v>199</v>
      </c>
      <c r="C456" s="17" t="s">
        <v>355</v>
      </c>
      <c r="D456" s="17" t="s">
        <v>357</v>
      </c>
      <c r="E456" s="3" t="s">
        <v>151</v>
      </c>
      <c r="F456" s="3" t="s">
        <v>8</v>
      </c>
      <c r="G456" s="7">
        <f>3500/1000</f>
        <v>3.5</v>
      </c>
    </row>
    <row r="457" spans="1:7" ht="38.25" x14ac:dyDescent="0.25">
      <c r="A457" s="4" t="s">
        <v>31</v>
      </c>
      <c r="B457" s="3" t="s">
        <v>199</v>
      </c>
      <c r="C457" s="17" t="s">
        <v>355</v>
      </c>
      <c r="D457" s="17" t="s">
        <v>357</v>
      </c>
      <c r="E457" s="3" t="s">
        <v>151</v>
      </c>
      <c r="F457" s="3" t="s">
        <v>32</v>
      </c>
      <c r="G457" s="7">
        <f>3500/1000</f>
        <v>3.5</v>
      </c>
    </row>
    <row r="458" spans="1:7" ht="63.75" x14ac:dyDescent="0.25">
      <c r="A458" s="4" t="s">
        <v>13</v>
      </c>
      <c r="B458" s="3" t="s">
        <v>199</v>
      </c>
      <c r="C458" s="17" t="s">
        <v>355</v>
      </c>
      <c r="D458" s="17" t="s">
        <v>357</v>
      </c>
      <c r="E458" s="3" t="s">
        <v>14</v>
      </c>
      <c r="F458" s="3" t="s">
        <v>8</v>
      </c>
      <c r="G458" s="7">
        <f>1134200/1000</f>
        <v>1134.2</v>
      </c>
    </row>
    <row r="459" spans="1:7" ht="76.5" x14ac:dyDescent="0.25">
      <c r="A459" s="4" t="s">
        <v>15</v>
      </c>
      <c r="B459" s="3" t="s">
        <v>199</v>
      </c>
      <c r="C459" s="17" t="s">
        <v>355</v>
      </c>
      <c r="D459" s="17" t="s">
        <v>357</v>
      </c>
      <c r="E459" s="3" t="s">
        <v>16</v>
      </c>
      <c r="F459" s="3" t="s">
        <v>8</v>
      </c>
      <c r="G459" s="7">
        <f>1121200/1000</f>
        <v>1121.2</v>
      </c>
    </row>
    <row r="460" spans="1:7" ht="38.25" x14ac:dyDescent="0.25">
      <c r="A460" s="4" t="s">
        <v>200</v>
      </c>
      <c r="B460" s="3" t="s">
        <v>199</v>
      </c>
      <c r="C460" s="17" t="s">
        <v>355</v>
      </c>
      <c r="D460" s="17" t="s">
        <v>357</v>
      </c>
      <c r="E460" s="3" t="s">
        <v>201</v>
      </c>
      <c r="F460" s="3" t="s">
        <v>8</v>
      </c>
      <c r="G460" s="7">
        <f t="shared" ref="G460:G461" si="4">1121200/1000</f>
        <v>1121.2</v>
      </c>
    </row>
    <row r="461" spans="1:7" ht="38.25" x14ac:dyDescent="0.25">
      <c r="A461" s="4" t="s">
        <v>31</v>
      </c>
      <c r="B461" s="3" t="s">
        <v>199</v>
      </c>
      <c r="C461" s="17" t="s">
        <v>355</v>
      </c>
      <c r="D461" s="17" t="s">
        <v>357</v>
      </c>
      <c r="E461" s="3" t="s">
        <v>201</v>
      </c>
      <c r="F461" s="3" t="s">
        <v>32</v>
      </c>
      <c r="G461" s="7">
        <f t="shared" si="4"/>
        <v>1121.2</v>
      </c>
    </row>
    <row r="462" spans="1:7" ht="63.75" x14ac:dyDescent="0.25">
      <c r="A462" s="4" t="s">
        <v>68</v>
      </c>
      <c r="B462" s="3" t="s">
        <v>199</v>
      </c>
      <c r="C462" s="17" t="s">
        <v>355</v>
      </c>
      <c r="D462" s="17" t="s">
        <v>357</v>
      </c>
      <c r="E462" s="3" t="s">
        <v>69</v>
      </c>
      <c r="F462" s="3" t="s">
        <v>8</v>
      </c>
      <c r="G462" s="7">
        <f>13000/1000</f>
        <v>13</v>
      </c>
    </row>
    <row r="463" spans="1:7" ht="25.5" x14ac:dyDescent="0.25">
      <c r="A463" s="4" t="s">
        <v>184</v>
      </c>
      <c r="B463" s="3" t="s">
        <v>199</v>
      </c>
      <c r="C463" s="17" t="s">
        <v>355</v>
      </c>
      <c r="D463" s="17" t="s">
        <v>357</v>
      </c>
      <c r="E463" s="3" t="s">
        <v>185</v>
      </c>
      <c r="F463" s="3" t="s">
        <v>8</v>
      </c>
      <c r="G463" s="7">
        <f t="shared" ref="G463:G464" si="5">13000/1000</f>
        <v>13</v>
      </c>
    </row>
    <row r="464" spans="1:7" ht="38.25" x14ac:dyDescent="0.25">
      <c r="A464" s="4" t="s">
        <v>31</v>
      </c>
      <c r="B464" s="3" t="s">
        <v>199</v>
      </c>
      <c r="C464" s="17" t="s">
        <v>355</v>
      </c>
      <c r="D464" s="17" t="s">
        <v>357</v>
      </c>
      <c r="E464" s="3" t="s">
        <v>185</v>
      </c>
      <c r="F464" s="3" t="s">
        <v>32</v>
      </c>
      <c r="G464" s="7">
        <f t="shared" si="5"/>
        <v>13</v>
      </c>
    </row>
    <row r="465" spans="1:7" x14ac:dyDescent="0.25">
      <c r="A465" s="4" t="s">
        <v>192</v>
      </c>
      <c r="B465" s="3" t="s">
        <v>199</v>
      </c>
      <c r="C465" s="17" t="s">
        <v>364</v>
      </c>
      <c r="D465" s="17" t="s">
        <v>353</v>
      </c>
      <c r="E465" s="3" t="s">
        <v>7</v>
      </c>
      <c r="F465" s="3" t="s">
        <v>8</v>
      </c>
      <c r="G465" s="7">
        <f t="shared" ref="G465:G470" si="6">550000/1000</f>
        <v>550</v>
      </c>
    </row>
    <row r="466" spans="1:7" x14ac:dyDescent="0.25">
      <c r="A466" s="4" t="s">
        <v>193</v>
      </c>
      <c r="B466" s="3" t="s">
        <v>199</v>
      </c>
      <c r="C466" s="17" t="s">
        <v>364</v>
      </c>
      <c r="D466" s="17" t="s">
        <v>351</v>
      </c>
      <c r="E466" s="3" t="s">
        <v>7</v>
      </c>
      <c r="F466" s="3" t="s">
        <v>8</v>
      </c>
      <c r="G466" s="7">
        <f t="shared" si="6"/>
        <v>550</v>
      </c>
    </row>
    <row r="467" spans="1:7" ht="63.75" x14ac:dyDescent="0.25">
      <c r="A467" s="4" t="s">
        <v>13</v>
      </c>
      <c r="B467" s="3" t="s">
        <v>199</v>
      </c>
      <c r="C467" s="17" t="s">
        <v>364</v>
      </c>
      <c r="D467" s="17" t="s">
        <v>351</v>
      </c>
      <c r="E467" s="3" t="s">
        <v>14</v>
      </c>
      <c r="F467" s="3" t="s">
        <v>8</v>
      </c>
      <c r="G467" s="7">
        <f t="shared" si="6"/>
        <v>550</v>
      </c>
    </row>
    <row r="468" spans="1:7" ht="76.5" x14ac:dyDescent="0.25">
      <c r="A468" s="4" t="s">
        <v>15</v>
      </c>
      <c r="B468" s="3" t="s">
        <v>199</v>
      </c>
      <c r="C468" s="17" t="s">
        <v>364</v>
      </c>
      <c r="D468" s="17" t="s">
        <v>351</v>
      </c>
      <c r="E468" s="3" t="s">
        <v>16</v>
      </c>
      <c r="F468" s="3" t="s">
        <v>8</v>
      </c>
      <c r="G468" s="7">
        <f t="shared" si="6"/>
        <v>550</v>
      </c>
    </row>
    <row r="469" spans="1:7" ht="38.25" x14ac:dyDescent="0.25">
      <c r="A469" s="4" t="s">
        <v>200</v>
      </c>
      <c r="B469" s="3" t="s">
        <v>199</v>
      </c>
      <c r="C469" s="17" t="s">
        <v>364</v>
      </c>
      <c r="D469" s="17" t="s">
        <v>351</v>
      </c>
      <c r="E469" s="3" t="s">
        <v>201</v>
      </c>
      <c r="F469" s="3" t="s">
        <v>8</v>
      </c>
      <c r="G469" s="7">
        <f t="shared" si="6"/>
        <v>550</v>
      </c>
    </row>
    <row r="470" spans="1:7" ht="38.25" x14ac:dyDescent="0.25">
      <c r="A470" s="4" t="s">
        <v>31</v>
      </c>
      <c r="B470" s="3" t="s">
        <v>199</v>
      </c>
      <c r="C470" s="17" t="s">
        <v>364</v>
      </c>
      <c r="D470" s="17" t="s">
        <v>351</v>
      </c>
      <c r="E470" s="3" t="s">
        <v>201</v>
      </c>
      <c r="F470" s="3" t="s">
        <v>32</v>
      </c>
      <c r="G470" s="7">
        <f t="shared" si="6"/>
        <v>550</v>
      </c>
    </row>
    <row r="471" spans="1:7" ht="51" x14ac:dyDescent="0.25">
      <c r="A471" s="11" t="s">
        <v>202</v>
      </c>
      <c r="B471" s="12" t="s">
        <v>203</v>
      </c>
      <c r="C471" s="18" t="s">
        <v>353</v>
      </c>
      <c r="D471" s="18" t="s">
        <v>353</v>
      </c>
      <c r="E471" s="12" t="s">
        <v>7</v>
      </c>
      <c r="F471" s="12" t="s">
        <v>8</v>
      </c>
      <c r="G471" s="14">
        <f>(452073659.09+33000)/1000</f>
        <v>452106.65908999997</v>
      </c>
    </row>
    <row r="472" spans="1:7" ht="25.5" x14ac:dyDescent="0.25">
      <c r="A472" s="4" t="s">
        <v>11</v>
      </c>
      <c r="B472" s="3" t="s">
        <v>203</v>
      </c>
      <c r="C472" s="17" t="s">
        <v>351</v>
      </c>
      <c r="D472" s="17" t="s">
        <v>353</v>
      </c>
      <c r="E472" s="3" t="s">
        <v>7</v>
      </c>
      <c r="F472" s="3" t="s">
        <v>8</v>
      </c>
      <c r="G472" s="7">
        <f t="shared" ref="G472:G477" si="7">1000/1000</f>
        <v>1</v>
      </c>
    </row>
    <row r="473" spans="1:7" ht="25.5" x14ac:dyDescent="0.25">
      <c r="A473" s="4" t="s">
        <v>40</v>
      </c>
      <c r="B473" s="3" t="s">
        <v>203</v>
      </c>
      <c r="C473" s="17" t="s">
        <v>351</v>
      </c>
      <c r="D473" s="17" t="s">
        <v>356</v>
      </c>
      <c r="E473" s="3" t="s">
        <v>7</v>
      </c>
      <c r="F473" s="3" t="s">
        <v>8</v>
      </c>
      <c r="G473" s="7">
        <f t="shared" si="7"/>
        <v>1</v>
      </c>
    </row>
    <row r="474" spans="1:7" ht="63.75" x14ac:dyDescent="0.25">
      <c r="A474" s="4" t="s">
        <v>13</v>
      </c>
      <c r="B474" s="3" t="s">
        <v>203</v>
      </c>
      <c r="C474" s="17" t="s">
        <v>351</v>
      </c>
      <c r="D474" s="17" t="s">
        <v>356</v>
      </c>
      <c r="E474" s="3" t="s">
        <v>14</v>
      </c>
      <c r="F474" s="3" t="s">
        <v>8</v>
      </c>
      <c r="G474" s="7">
        <f t="shared" si="7"/>
        <v>1</v>
      </c>
    </row>
    <row r="475" spans="1:7" ht="25.5" x14ac:dyDescent="0.25">
      <c r="A475" s="4" t="s">
        <v>62</v>
      </c>
      <c r="B475" s="3" t="s">
        <v>203</v>
      </c>
      <c r="C475" s="17" t="s">
        <v>351</v>
      </c>
      <c r="D475" s="17" t="s">
        <v>356</v>
      </c>
      <c r="E475" s="3" t="s">
        <v>63</v>
      </c>
      <c r="F475" s="3" t="s">
        <v>8</v>
      </c>
      <c r="G475" s="7">
        <f t="shared" si="7"/>
        <v>1</v>
      </c>
    </row>
    <row r="476" spans="1:7" ht="25.5" x14ac:dyDescent="0.25">
      <c r="A476" s="4" t="s">
        <v>66</v>
      </c>
      <c r="B476" s="3" t="s">
        <v>203</v>
      </c>
      <c r="C476" s="17" t="s">
        <v>351</v>
      </c>
      <c r="D476" s="17" t="s">
        <v>356</v>
      </c>
      <c r="E476" s="3" t="s">
        <v>67</v>
      </c>
      <c r="F476" s="3" t="s">
        <v>8</v>
      </c>
      <c r="G476" s="7">
        <f t="shared" si="7"/>
        <v>1</v>
      </c>
    </row>
    <row r="477" spans="1:7" ht="38.25" x14ac:dyDescent="0.25">
      <c r="A477" s="4" t="s">
        <v>31</v>
      </c>
      <c r="B477" s="3" t="s">
        <v>203</v>
      </c>
      <c r="C477" s="17" t="s">
        <v>351</v>
      </c>
      <c r="D477" s="17" t="s">
        <v>356</v>
      </c>
      <c r="E477" s="3" t="s">
        <v>67</v>
      </c>
      <c r="F477" s="3" t="s">
        <v>32</v>
      </c>
      <c r="G477" s="7">
        <f t="shared" si="7"/>
        <v>1</v>
      </c>
    </row>
    <row r="478" spans="1:7" ht="25.5" x14ac:dyDescent="0.25">
      <c r="A478" s="4" t="s">
        <v>131</v>
      </c>
      <c r="B478" s="3" t="s">
        <v>203</v>
      </c>
      <c r="C478" s="17" t="s">
        <v>355</v>
      </c>
      <c r="D478" s="17" t="s">
        <v>353</v>
      </c>
      <c r="E478" s="3" t="s">
        <v>7</v>
      </c>
      <c r="F478" s="3" t="s">
        <v>8</v>
      </c>
      <c r="G478" s="7">
        <f>1601600/1000</f>
        <v>1601.6</v>
      </c>
    </row>
    <row r="479" spans="1:7" x14ac:dyDescent="0.25">
      <c r="A479" s="4" t="s">
        <v>146</v>
      </c>
      <c r="B479" s="3" t="s">
        <v>203</v>
      </c>
      <c r="C479" s="17" t="s">
        <v>355</v>
      </c>
      <c r="D479" s="17" t="s">
        <v>357</v>
      </c>
      <c r="E479" s="3" t="s">
        <v>7</v>
      </c>
      <c r="F479" s="3" t="s">
        <v>8</v>
      </c>
      <c r="G479" s="7">
        <f>1601600/1000</f>
        <v>1601.6</v>
      </c>
    </row>
    <row r="480" spans="1:7" ht="89.25" x14ac:dyDescent="0.25">
      <c r="A480" s="4" t="s">
        <v>147</v>
      </c>
      <c r="B480" s="3" t="s">
        <v>203</v>
      </c>
      <c r="C480" s="17" t="s">
        <v>355</v>
      </c>
      <c r="D480" s="17" t="s">
        <v>357</v>
      </c>
      <c r="E480" s="3" t="s">
        <v>148</v>
      </c>
      <c r="F480" s="3" t="s">
        <v>8</v>
      </c>
      <c r="G480" s="7">
        <f>1601600/1000</f>
        <v>1601.6</v>
      </c>
    </row>
    <row r="481" spans="1:7" ht="38.25" x14ac:dyDescent="0.25">
      <c r="A481" s="4" t="s">
        <v>149</v>
      </c>
      <c r="B481" s="3" t="s">
        <v>203</v>
      </c>
      <c r="C481" s="17" t="s">
        <v>355</v>
      </c>
      <c r="D481" s="17" t="s">
        <v>357</v>
      </c>
      <c r="E481" s="3" t="s">
        <v>150</v>
      </c>
      <c r="F481" s="3" t="s">
        <v>8</v>
      </c>
      <c r="G481" s="7">
        <f>1601600/1000</f>
        <v>1601.6</v>
      </c>
    </row>
    <row r="482" spans="1:7" ht="38.25" x14ac:dyDescent="0.25">
      <c r="A482" s="4" t="s">
        <v>31</v>
      </c>
      <c r="B482" s="3" t="s">
        <v>203</v>
      </c>
      <c r="C482" s="17" t="s">
        <v>355</v>
      </c>
      <c r="D482" s="17" t="s">
        <v>357</v>
      </c>
      <c r="E482" s="3" t="s">
        <v>150</v>
      </c>
      <c r="F482" s="3" t="s">
        <v>32</v>
      </c>
      <c r="G482" s="7">
        <f>1601600/1000</f>
        <v>1601.6</v>
      </c>
    </row>
    <row r="483" spans="1:7" x14ac:dyDescent="0.25">
      <c r="A483" s="4" t="s">
        <v>152</v>
      </c>
      <c r="B483" s="3" t="s">
        <v>203</v>
      </c>
      <c r="C483" s="17" t="s">
        <v>362</v>
      </c>
      <c r="D483" s="17" t="s">
        <v>353</v>
      </c>
      <c r="E483" s="3" t="s">
        <v>7</v>
      </c>
      <c r="F483" s="3" t="s">
        <v>8</v>
      </c>
      <c r="G483" s="7">
        <f>424394559.09/1000</f>
        <v>424394.55909</v>
      </c>
    </row>
    <row r="484" spans="1:7" x14ac:dyDescent="0.25">
      <c r="A484" s="4" t="s">
        <v>204</v>
      </c>
      <c r="B484" s="3" t="s">
        <v>203</v>
      </c>
      <c r="C484" s="17" t="s">
        <v>362</v>
      </c>
      <c r="D484" s="17" t="s">
        <v>351</v>
      </c>
      <c r="E484" s="3" t="s">
        <v>7</v>
      </c>
      <c r="F484" s="3" t="s">
        <v>8</v>
      </c>
      <c r="G484" s="7">
        <f>54453516.03/1000</f>
        <v>54453.516029999999</v>
      </c>
    </row>
    <row r="485" spans="1:7" ht="51" x14ac:dyDescent="0.25">
      <c r="A485" s="4" t="s">
        <v>154</v>
      </c>
      <c r="B485" s="3" t="s">
        <v>203</v>
      </c>
      <c r="C485" s="17" t="s">
        <v>362</v>
      </c>
      <c r="D485" s="17" t="s">
        <v>351</v>
      </c>
      <c r="E485" s="3" t="s">
        <v>155</v>
      </c>
      <c r="F485" s="3" t="s">
        <v>8</v>
      </c>
      <c r="G485" s="7">
        <f>54453516.03/1000</f>
        <v>54453.516029999999</v>
      </c>
    </row>
    <row r="486" spans="1:7" ht="25.5" x14ac:dyDescent="0.25">
      <c r="A486" s="4" t="s">
        <v>156</v>
      </c>
      <c r="B486" s="3" t="s">
        <v>203</v>
      </c>
      <c r="C486" s="17" t="s">
        <v>362</v>
      </c>
      <c r="D486" s="17" t="s">
        <v>351</v>
      </c>
      <c r="E486" s="3" t="s">
        <v>157</v>
      </c>
      <c r="F486" s="3" t="s">
        <v>8</v>
      </c>
      <c r="G486" s="7">
        <f>54453516.03/1000</f>
        <v>54453.516029999999</v>
      </c>
    </row>
    <row r="487" spans="1:7" ht="51" x14ac:dyDescent="0.25">
      <c r="A487" s="4" t="s">
        <v>205</v>
      </c>
      <c r="B487" s="3" t="s">
        <v>203</v>
      </c>
      <c r="C487" s="17" t="s">
        <v>362</v>
      </c>
      <c r="D487" s="17" t="s">
        <v>351</v>
      </c>
      <c r="E487" s="3" t="s">
        <v>206</v>
      </c>
      <c r="F487" s="3" t="s">
        <v>8</v>
      </c>
      <c r="G487" s="7">
        <f>1146510/1000</f>
        <v>1146.51</v>
      </c>
    </row>
    <row r="488" spans="1:7" ht="89.25" x14ac:dyDescent="0.25">
      <c r="A488" s="4" t="s">
        <v>19</v>
      </c>
      <c r="B488" s="3" t="s">
        <v>203</v>
      </c>
      <c r="C488" s="17" t="s">
        <v>362</v>
      </c>
      <c r="D488" s="17" t="s">
        <v>351</v>
      </c>
      <c r="E488" s="3" t="s">
        <v>206</v>
      </c>
      <c r="F488" s="3" t="s">
        <v>20</v>
      </c>
      <c r="G488" s="7">
        <f>654590/1000</f>
        <v>654.59</v>
      </c>
    </row>
    <row r="489" spans="1:7" ht="25.5" x14ac:dyDescent="0.25">
      <c r="A489" s="4" t="s">
        <v>102</v>
      </c>
      <c r="B489" s="3" t="s">
        <v>203</v>
      </c>
      <c r="C489" s="17" t="s">
        <v>362</v>
      </c>
      <c r="D489" s="17" t="s">
        <v>351</v>
      </c>
      <c r="E489" s="3" t="s">
        <v>206</v>
      </c>
      <c r="F489" s="3" t="s">
        <v>103</v>
      </c>
      <c r="G489" s="7">
        <f>491920/1000</f>
        <v>491.92</v>
      </c>
    </row>
    <row r="490" spans="1:7" ht="38.25" x14ac:dyDescent="0.25">
      <c r="A490" s="4" t="s">
        <v>207</v>
      </c>
      <c r="B490" s="3" t="s">
        <v>203</v>
      </c>
      <c r="C490" s="17" t="s">
        <v>362</v>
      </c>
      <c r="D490" s="17" t="s">
        <v>351</v>
      </c>
      <c r="E490" s="3" t="s">
        <v>208</v>
      </c>
      <c r="F490" s="3" t="s">
        <v>8</v>
      </c>
      <c r="G490" s="7">
        <f>19179600/1000</f>
        <v>19179.599999999999</v>
      </c>
    </row>
    <row r="491" spans="1:7" ht="89.25" x14ac:dyDescent="0.25">
      <c r="A491" s="4" t="s">
        <v>19</v>
      </c>
      <c r="B491" s="3" t="s">
        <v>203</v>
      </c>
      <c r="C491" s="17" t="s">
        <v>362</v>
      </c>
      <c r="D491" s="17" t="s">
        <v>351</v>
      </c>
      <c r="E491" s="3" t="s">
        <v>208</v>
      </c>
      <c r="F491" s="3" t="s">
        <v>20</v>
      </c>
      <c r="G491" s="7">
        <f>19179600/1000</f>
        <v>19179.599999999999</v>
      </c>
    </row>
    <row r="492" spans="1:7" ht="63.75" x14ac:dyDescent="0.25">
      <c r="A492" s="4" t="s">
        <v>213</v>
      </c>
      <c r="B492" s="3" t="s">
        <v>203</v>
      </c>
      <c r="C492" s="17" t="s">
        <v>362</v>
      </c>
      <c r="D492" s="17" t="s">
        <v>351</v>
      </c>
      <c r="E492" s="3" t="s">
        <v>214</v>
      </c>
      <c r="F492" s="3" t="s">
        <v>8</v>
      </c>
      <c r="G492" s="7">
        <f>312000/1000</f>
        <v>312</v>
      </c>
    </row>
    <row r="493" spans="1:7" ht="38.25" x14ac:dyDescent="0.25">
      <c r="A493" s="4" t="s">
        <v>31</v>
      </c>
      <c r="B493" s="3" t="s">
        <v>203</v>
      </c>
      <c r="C493" s="17" t="s">
        <v>362</v>
      </c>
      <c r="D493" s="17" t="s">
        <v>351</v>
      </c>
      <c r="E493" s="3" t="s">
        <v>214</v>
      </c>
      <c r="F493" s="3" t="s">
        <v>32</v>
      </c>
      <c r="G493" s="7">
        <f>312000/1000</f>
        <v>312</v>
      </c>
    </row>
    <row r="494" spans="1:7" ht="38.25" x14ac:dyDescent="0.25">
      <c r="A494" s="4" t="s">
        <v>215</v>
      </c>
      <c r="B494" s="3" t="s">
        <v>203</v>
      </c>
      <c r="C494" s="17" t="s">
        <v>362</v>
      </c>
      <c r="D494" s="17" t="s">
        <v>351</v>
      </c>
      <c r="E494" s="3" t="s">
        <v>216</v>
      </c>
      <c r="F494" s="3" t="s">
        <v>8</v>
      </c>
      <c r="G494" s="7">
        <f>30607941.44/1000</f>
        <v>30607.941440000002</v>
      </c>
    </row>
    <row r="495" spans="1:7" ht="89.25" x14ac:dyDescent="0.25">
      <c r="A495" s="4" t="s">
        <v>19</v>
      </c>
      <c r="B495" s="3" t="s">
        <v>203</v>
      </c>
      <c r="C495" s="17" t="s">
        <v>362</v>
      </c>
      <c r="D495" s="17" t="s">
        <v>351</v>
      </c>
      <c r="E495" s="3" t="s">
        <v>216</v>
      </c>
      <c r="F495" s="3" t="s">
        <v>20</v>
      </c>
      <c r="G495" s="7">
        <f>24580437.11/1000</f>
        <v>24580.437109999999</v>
      </c>
    </row>
    <row r="496" spans="1:7" ht="38.25" x14ac:dyDescent="0.25">
      <c r="A496" s="4" t="s">
        <v>31</v>
      </c>
      <c r="B496" s="3" t="s">
        <v>203</v>
      </c>
      <c r="C496" s="17" t="s">
        <v>362</v>
      </c>
      <c r="D496" s="17" t="s">
        <v>351</v>
      </c>
      <c r="E496" s="3" t="s">
        <v>216</v>
      </c>
      <c r="F496" s="3" t="s">
        <v>32</v>
      </c>
      <c r="G496" s="7">
        <f>6027504.33/1000</f>
        <v>6027.5043299999998</v>
      </c>
    </row>
    <row r="497" spans="1:7" ht="38.25" x14ac:dyDescent="0.25">
      <c r="A497" s="4" t="s">
        <v>217</v>
      </c>
      <c r="B497" s="3" t="s">
        <v>203</v>
      </c>
      <c r="C497" s="17" t="s">
        <v>362</v>
      </c>
      <c r="D497" s="17" t="s">
        <v>351</v>
      </c>
      <c r="E497" s="3" t="s">
        <v>218</v>
      </c>
      <c r="F497" s="3" t="s">
        <v>8</v>
      </c>
      <c r="G497" s="7">
        <f>3207464.59/1000</f>
        <v>3207.46459</v>
      </c>
    </row>
    <row r="498" spans="1:7" ht="38.25" x14ac:dyDescent="0.25">
      <c r="A498" s="4" t="s">
        <v>31</v>
      </c>
      <c r="B498" s="3" t="s">
        <v>203</v>
      </c>
      <c r="C498" s="17" t="s">
        <v>362</v>
      </c>
      <c r="D498" s="17" t="s">
        <v>351</v>
      </c>
      <c r="E498" s="3" t="s">
        <v>218</v>
      </c>
      <c r="F498" s="3" t="s">
        <v>32</v>
      </c>
      <c r="G498" s="7">
        <f>3207464.59/1000</f>
        <v>3207.46459</v>
      </c>
    </row>
    <row r="499" spans="1:7" x14ac:dyDescent="0.25">
      <c r="A499" s="4" t="s">
        <v>153</v>
      </c>
      <c r="B499" s="3" t="s">
        <v>203</v>
      </c>
      <c r="C499" s="17" t="s">
        <v>362</v>
      </c>
      <c r="D499" s="17" t="s">
        <v>352</v>
      </c>
      <c r="E499" s="3" t="s">
        <v>7</v>
      </c>
      <c r="F499" s="3" t="s">
        <v>8</v>
      </c>
      <c r="G499" s="7">
        <f>336928859.97/1000</f>
        <v>336928.85997000005</v>
      </c>
    </row>
    <row r="500" spans="1:7" ht="51" x14ac:dyDescent="0.25">
      <c r="A500" s="4" t="s">
        <v>154</v>
      </c>
      <c r="B500" s="3" t="s">
        <v>203</v>
      </c>
      <c r="C500" s="17" t="s">
        <v>362</v>
      </c>
      <c r="D500" s="17" t="s">
        <v>352</v>
      </c>
      <c r="E500" s="3" t="s">
        <v>155</v>
      </c>
      <c r="F500" s="3" t="s">
        <v>8</v>
      </c>
      <c r="G500" s="7">
        <f>336928859.97/1000</f>
        <v>336928.85997000005</v>
      </c>
    </row>
    <row r="501" spans="1:7" ht="25.5" x14ac:dyDescent="0.25">
      <c r="A501" s="4" t="s">
        <v>156</v>
      </c>
      <c r="B501" s="3" t="s">
        <v>203</v>
      </c>
      <c r="C501" s="17" t="s">
        <v>362</v>
      </c>
      <c r="D501" s="17" t="s">
        <v>352</v>
      </c>
      <c r="E501" s="3" t="s">
        <v>157</v>
      </c>
      <c r="F501" s="3" t="s">
        <v>8</v>
      </c>
      <c r="G501" s="7">
        <f>336491715.97/1000</f>
        <v>336491.71597000002</v>
      </c>
    </row>
    <row r="502" spans="1:7" ht="38.25" x14ac:dyDescent="0.25">
      <c r="A502" s="4" t="s">
        <v>219</v>
      </c>
      <c r="B502" s="3" t="s">
        <v>203</v>
      </c>
      <c r="C502" s="17" t="s">
        <v>362</v>
      </c>
      <c r="D502" s="17" t="s">
        <v>352</v>
      </c>
      <c r="E502" s="3" t="s">
        <v>220</v>
      </c>
      <c r="F502" s="3" t="s">
        <v>8</v>
      </c>
      <c r="G502" s="7">
        <f>2375300/1000</f>
        <v>2375.3000000000002</v>
      </c>
    </row>
    <row r="503" spans="1:7" ht="25.5" x14ac:dyDescent="0.25">
      <c r="A503" s="4" t="s">
        <v>102</v>
      </c>
      <c r="B503" s="3" t="s">
        <v>203</v>
      </c>
      <c r="C503" s="17" t="s">
        <v>362</v>
      </c>
      <c r="D503" s="17" t="s">
        <v>352</v>
      </c>
      <c r="E503" s="3" t="s">
        <v>220</v>
      </c>
      <c r="F503" s="3" t="s">
        <v>103</v>
      </c>
      <c r="G503" s="7">
        <f>2375300/1000</f>
        <v>2375.3000000000002</v>
      </c>
    </row>
    <row r="504" spans="1:7" ht="38.25" x14ac:dyDescent="0.25">
      <c r="A504" s="4" t="s">
        <v>221</v>
      </c>
      <c r="B504" s="3" t="s">
        <v>203</v>
      </c>
      <c r="C504" s="17" t="s">
        <v>362</v>
      </c>
      <c r="D504" s="17" t="s">
        <v>352</v>
      </c>
      <c r="E504" s="3" t="s">
        <v>222</v>
      </c>
      <c r="F504" s="3" t="s">
        <v>8</v>
      </c>
      <c r="G504" s="7">
        <f>6377000/1000</f>
        <v>6377</v>
      </c>
    </row>
    <row r="505" spans="1:7" ht="38.25" x14ac:dyDescent="0.25">
      <c r="A505" s="4" t="s">
        <v>31</v>
      </c>
      <c r="B505" s="3" t="s">
        <v>203</v>
      </c>
      <c r="C505" s="17" t="s">
        <v>362</v>
      </c>
      <c r="D505" s="17" t="s">
        <v>352</v>
      </c>
      <c r="E505" s="3" t="s">
        <v>222</v>
      </c>
      <c r="F505" s="3" t="s">
        <v>32</v>
      </c>
      <c r="G505" s="7">
        <f>6377000/1000</f>
        <v>6377</v>
      </c>
    </row>
    <row r="506" spans="1:7" ht="89.25" x14ac:dyDescent="0.25">
      <c r="A506" s="4" t="s">
        <v>223</v>
      </c>
      <c r="B506" s="3" t="s">
        <v>203</v>
      </c>
      <c r="C506" s="17" t="s">
        <v>362</v>
      </c>
      <c r="D506" s="17" t="s">
        <v>352</v>
      </c>
      <c r="E506" s="3" t="s">
        <v>224</v>
      </c>
      <c r="F506" s="3" t="s">
        <v>8</v>
      </c>
      <c r="G506" s="7">
        <f>713201.65/1000</f>
        <v>713.20164999999997</v>
      </c>
    </row>
    <row r="507" spans="1:7" ht="38.25" x14ac:dyDescent="0.25">
      <c r="A507" s="4" t="s">
        <v>31</v>
      </c>
      <c r="B507" s="3" t="s">
        <v>203</v>
      </c>
      <c r="C507" s="17" t="s">
        <v>362</v>
      </c>
      <c r="D507" s="17" t="s">
        <v>352</v>
      </c>
      <c r="E507" s="3" t="s">
        <v>224</v>
      </c>
      <c r="F507" s="3" t="s">
        <v>32</v>
      </c>
      <c r="G507" s="7">
        <f>713201.65/1000</f>
        <v>713.20164999999997</v>
      </c>
    </row>
    <row r="508" spans="1:7" ht="38.25" x14ac:dyDescent="0.25">
      <c r="A508" s="4" t="s">
        <v>219</v>
      </c>
      <c r="B508" s="3" t="s">
        <v>203</v>
      </c>
      <c r="C508" s="17" t="s">
        <v>362</v>
      </c>
      <c r="D508" s="17" t="s">
        <v>352</v>
      </c>
      <c r="E508" s="3" t="s">
        <v>225</v>
      </c>
      <c r="F508" s="3" t="s">
        <v>8</v>
      </c>
      <c r="G508" s="7">
        <f>824500/1000</f>
        <v>824.5</v>
      </c>
    </row>
    <row r="509" spans="1:7" ht="25.5" x14ac:dyDescent="0.25">
      <c r="A509" s="4" t="s">
        <v>102</v>
      </c>
      <c r="B509" s="3" t="s">
        <v>203</v>
      </c>
      <c r="C509" s="17" t="s">
        <v>362</v>
      </c>
      <c r="D509" s="17" t="s">
        <v>352</v>
      </c>
      <c r="E509" s="3" t="s">
        <v>225</v>
      </c>
      <c r="F509" s="3" t="s">
        <v>103</v>
      </c>
      <c r="G509" s="7">
        <f>824500/1000</f>
        <v>824.5</v>
      </c>
    </row>
    <row r="510" spans="1:7" ht="51" x14ac:dyDescent="0.25">
      <c r="A510" s="4" t="s">
        <v>205</v>
      </c>
      <c r="B510" s="3" t="s">
        <v>203</v>
      </c>
      <c r="C510" s="17" t="s">
        <v>362</v>
      </c>
      <c r="D510" s="17" t="s">
        <v>352</v>
      </c>
      <c r="E510" s="3" t="s">
        <v>206</v>
      </c>
      <c r="F510" s="3" t="s">
        <v>8</v>
      </c>
      <c r="G510" s="7">
        <f>6358002/1000</f>
        <v>6358.0020000000004</v>
      </c>
    </row>
    <row r="511" spans="1:7" ht="89.25" x14ac:dyDescent="0.25">
      <c r="A511" s="4" t="s">
        <v>19</v>
      </c>
      <c r="B511" s="3" t="s">
        <v>203</v>
      </c>
      <c r="C511" s="17" t="s">
        <v>362</v>
      </c>
      <c r="D511" s="17" t="s">
        <v>352</v>
      </c>
      <c r="E511" s="3" t="s">
        <v>206</v>
      </c>
      <c r="F511" s="3" t="s">
        <v>20</v>
      </c>
      <c r="G511" s="7">
        <f>2965362/1000</f>
        <v>2965.3620000000001</v>
      </c>
    </row>
    <row r="512" spans="1:7" ht="25.5" x14ac:dyDescent="0.25">
      <c r="A512" s="4" t="s">
        <v>102</v>
      </c>
      <c r="B512" s="3" t="s">
        <v>203</v>
      </c>
      <c r="C512" s="17" t="s">
        <v>362</v>
      </c>
      <c r="D512" s="17" t="s">
        <v>352</v>
      </c>
      <c r="E512" s="3" t="s">
        <v>206</v>
      </c>
      <c r="F512" s="3" t="s">
        <v>103</v>
      </c>
      <c r="G512" s="7">
        <f>3392640/1000</f>
        <v>3392.64</v>
      </c>
    </row>
    <row r="513" spans="1:7" ht="51" x14ac:dyDescent="0.25">
      <c r="A513" s="4" t="s">
        <v>226</v>
      </c>
      <c r="B513" s="3" t="s">
        <v>203</v>
      </c>
      <c r="C513" s="17" t="s">
        <v>362</v>
      </c>
      <c r="D513" s="17" t="s">
        <v>352</v>
      </c>
      <c r="E513" s="3" t="s">
        <v>227</v>
      </c>
      <c r="F513" s="3" t="s">
        <v>8</v>
      </c>
      <c r="G513" s="7">
        <f>160407000/1000</f>
        <v>160407</v>
      </c>
    </row>
    <row r="514" spans="1:7" ht="89.25" x14ac:dyDescent="0.25">
      <c r="A514" s="4" t="s">
        <v>19</v>
      </c>
      <c r="B514" s="3" t="s">
        <v>203</v>
      </c>
      <c r="C514" s="17" t="s">
        <v>362</v>
      </c>
      <c r="D514" s="17" t="s">
        <v>352</v>
      </c>
      <c r="E514" s="3" t="s">
        <v>227</v>
      </c>
      <c r="F514" s="3" t="s">
        <v>20</v>
      </c>
      <c r="G514" s="7">
        <f>159330540/1000</f>
        <v>159330.54</v>
      </c>
    </row>
    <row r="515" spans="1:7" ht="38.25" x14ac:dyDescent="0.25">
      <c r="A515" s="4" t="s">
        <v>31</v>
      </c>
      <c r="B515" s="3" t="s">
        <v>203</v>
      </c>
      <c r="C515" s="17" t="s">
        <v>362</v>
      </c>
      <c r="D515" s="17" t="s">
        <v>352</v>
      </c>
      <c r="E515" s="3" t="s">
        <v>227</v>
      </c>
      <c r="F515" s="3" t="s">
        <v>32</v>
      </c>
      <c r="G515" s="7">
        <f>1076460/1000</f>
        <v>1076.46</v>
      </c>
    </row>
    <row r="516" spans="1:7" ht="38.25" x14ac:dyDescent="0.25">
      <c r="A516" s="4" t="s">
        <v>228</v>
      </c>
      <c r="B516" s="3" t="s">
        <v>203</v>
      </c>
      <c r="C516" s="17" t="s">
        <v>362</v>
      </c>
      <c r="D516" s="17" t="s">
        <v>352</v>
      </c>
      <c r="E516" s="3" t="s">
        <v>229</v>
      </c>
      <c r="F516" s="3" t="s">
        <v>8</v>
      </c>
      <c r="G516" s="7">
        <f>2933100/1000</f>
        <v>2933.1</v>
      </c>
    </row>
    <row r="517" spans="1:7" ht="38.25" x14ac:dyDescent="0.25">
      <c r="A517" s="4" t="s">
        <v>31</v>
      </c>
      <c r="B517" s="3" t="s">
        <v>203</v>
      </c>
      <c r="C517" s="17" t="s">
        <v>362</v>
      </c>
      <c r="D517" s="17" t="s">
        <v>352</v>
      </c>
      <c r="E517" s="3" t="s">
        <v>229</v>
      </c>
      <c r="F517" s="3" t="s">
        <v>32</v>
      </c>
      <c r="G517" s="7">
        <f>2933100/1000</f>
        <v>2933.1</v>
      </c>
    </row>
    <row r="518" spans="1:7" ht="25.5" x14ac:dyDescent="0.25">
      <c r="A518" s="4" t="s">
        <v>230</v>
      </c>
      <c r="B518" s="3" t="s">
        <v>203</v>
      </c>
      <c r="C518" s="17" t="s">
        <v>362</v>
      </c>
      <c r="D518" s="17" t="s">
        <v>352</v>
      </c>
      <c r="E518" s="3" t="s">
        <v>231</v>
      </c>
      <c r="F518" s="3" t="s">
        <v>8</v>
      </c>
      <c r="G518" s="7">
        <f>21011000/1000</f>
        <v>21011</v>
      </c>
    </row>
    <row r="519" spans="1:7" ht="38.25" x14ac:dyDescent="0.25">
      <c r="A519" s="4" t="s">
        <v>31</v>
      </c>
      <c r="B519" s="3" t="s">
        <v>203</v>
      </c>
      <c r="C519" s="17" t="s">
        <v>362</v>
      </c>
      <c r="D519" s="17" t="s">
        <v>352</v>
      </c>
      <c r="E519" s="3" t="s">
        <v>231</v>
      </c>
      <c r="F519" s="3" t="s">
        <v>32</v>
      </c>
      <c r="G519" s="7">
        <f>21011000/1000</f>
        <v>21011</v>
      </c>
    </row>
    <row r="520" spans="1:7" ht="38.25" x14ac:dyDescent="0.25">
      <c r="A520" s="4" t="s">
        <v>232</v>
      </c>
      <c r="B520" s="3" t="s">
        <v>203</v>
      </c>
      <c r="C520" s="17" t="s">
        <v>362</v>
      </c>
      <c r="D520" s="17" t="s">
        <v>352</v>
      </c>
      <c r="E520" s="3" t="s">
        <v>233</v>
      </c>
      <c r="F520" s="3" t="s">
        <v>8</v>
      </c>
      <c r="G520" s="7">
        <f>74984932.42/1000</f>
        <v>74984.932419999997</v>
      </c>
    </row>
    <row r="521" spans="1:7" ht="89.25" x14ac:dyDescent="0.25">
      <c r="A521" s="4" t="s">
        <v>19</v>
      </c>
      <c r="B521" s="3" t="s">
        <v>203</v>
      </c>
      <c r="C521" s="17" t="s">
        <v>362</v>
      </c>
      <c r="D521" s="17" t="s">
        <v>352</v>
      </c>
      <c r="E521" s="3" t="s">
        <v>233</v>
      </c>
      <c r="F521" s="3" t="s">
        <v>20</v>
      </c>
      <c r="G521" s="7">
        <f>30101914.16/1000</f>
        <v>30101.91416</v>
      </c>
    </row>
    <row r="522" spans="1:7" ht="38.25" x14ac:dyDescent="0.25">
      <c r="A522" s="4" t="s">
        <v>31</v>
      </c>
      <c r="B522" s="3" t="s">
        <v>203</v>
      </c>
      <c r="C522" s="17" t="s">
        <v>362</v>
      </c>
      <c r="D522" s="17" t="s">
        <v>352</v>
      </c>
      <c r="E522" s="3" t="s">
        <v>233</v>
      </c>
      <c r="F522" s="3" t="s">
        <v>32</v>
      </c>
      <c r="G522" s="7">
        <f>43560873.64/1000</f>
        <v>43560.873639999998</v>
      </c>
    </row>
    <row r="523" spans="1:7" ht="25.5" x14ac:dyDescent="0.25">
      <c r="A523" s="4" t="s">
        <v>35</v>
      </c>
      <c r="B523" s="3" t="s">
        <v>203</v>
      </c>
      <c r="C523" s="17" t="s">
        <v>362</v>
      </c>
      <c r="D523" s="17" t="s">
        <v>352</v>
      </c>
      <c r="E523" s="3" t="s">
        <v>233</v>
      </c>
      <c r="F523" s="3" t="s">
        <v>36</v>
      </c>
      <c r="G523" s="7">
        <f>1322144.62/1000</f>
        <v>1322.14462</v>
      </c>
    </row>
    <row r="524" spans="1:7" ht="140.25" x14ac:dyDescent="0.25">
      <c r="A524" s="4" t="s">
        <v>234</v>
      </c>
      <c r="B524" s="3" t="s">
        <v>203</v>
      </c>
      <c r="C524" s="17" t="s">
        <v>362</v>
      </c>
      <c r="D524" s="17" t="s">
        <v>352</v>
      </c>
      <c r="E524" s="3" t="s">
        <v>235</v>
      </c>
      <c r="F524" s="3" t="s">
        <v>8</v>
      </c>
      <c r="G524" s="7">
        <f>20918000/1000</f>
        <v>20918</v>
      </c>
    </row>
    <row r="525" spans="1:7" ht="89.25" x14ac:dyDescent="0.25">
      <c r="A525" s="4" t="s">
        <v>19</v>
      </c>
      <c r="B525" s="3" t="s">
        <v>203</v>
      </c>
      <c r="C525" s="17" t="s">
        <v>362</v>
      </c>
      <c r="D525" s="17" t="s">
        <v>352</v>
      </c>
      <c r="E525" s="3" t="s">
        <v>235</v>
      </c>
      <c r="F525" s="3" t="s">
        <v>20</v>
      </c>
      <c r="G525" s="7">
        <f>20918000/1000</f>
        <v>20918</v>
      </c>
    </row>
    <row r="526" spans="1:7" ht="76.5" x14ac:dyDescent="0.25">
      <c r="A526" s="4" t="s">
        <v>236</v>
      </c>
      <c r="B526" s="3" t="s">
        <v>203</v>
      </c>
      <c r="C526" s="17" t="s">
        <v>362</v>
      </c>
      <c r="D526" s="17" t="s">
        <v>352</v>
      </c>
      <c r="E526" s="3" t="s">
        <v>237</v>
      </c>
      <c r="F526" s="3" t="s">
        <v>8</v>
      </c>
      <c r="G526" s="7">
        <f>7086229.15/1000</f>
        <v>7086.2291500000001</v>
      </c>
    </row>
    <row r="527" spans="1:7" ht="89.25" x14ac:dyDescent="0.25">
      <c r="A527" s="4" t="s">
        <v>238</v>
      </c>
      <c r="B527" s="3" t="s">
        <v>203</v>
      </c>
      <c r="C527" s="17" t="s">
        <v>362</v>
      </c>
      <c r="D527" s="17" t="s">
        <v>352</v>
      </c>
      <c r="E527" s="3" t="s">
        <v>239</v>
      </c>
      <c r="F527" s="3" t="s">
        <v>8</v>
      </c>
      <c r="G527" s="7">
        <f>7086229.15/1000</f>
        <v>7086.2291500000001</v>
      </c>
    </row>
    <row r="528" spans="1:7" ht="38.25" x14ac:dyDescent="0.25">
      <c r="A528" s="4" t="s">
        <v>31</v>
      </c>
      <c r="B528" s="3" t="s">
        <v>203</v>
      </c>
      <c r="C528" s="17" t="s">
        <v>362</v>
      </c>
      <c r="D528" s="17" t="s">
        <v>352</v>
      </c>
      <c r="E528" s="3" t="s">
        <v>239</v>
      </c>
      <c r="F528" s="3" t="s">
        <v>32</v>
      </c>
      <c r="G528" s="7">
        <f>7086229.15/1000</f>
        <v>7086.2291500000001</v>
      </c>
    </row>
    <row r="529" spans="1:7" ht="38.25" x14ac:dyDescent="0.25">
      <c r="A529" s="4" t="s">
        <v>158</v>
      </c>
      <c r="B529" s="3" t="s">
        <v>203</v>
      </c>
      <c r="C529" s="17" t="s">
        <v>362</v>
      </c>
      <c r="D529" s="17" t="s">
        <v>352</v>
      </c>
      <c r="E529" s="3" t="s">
        <v>159</v>
      </c>
      <c r="F529" s="3" t="s">
        <v>8</v>
      </c>
      <c r="G529" s="7">
        <f>32482439.75/1000</f>
        <v>32482.439750000001</v>
      </c>
    </row>
    <row r="530" spans="1:7" ht="63.75" x14ac:dyDescent="0.25">
      <c r="A530" s="4" t="s">
        <v>160</v>
      </c>
      <c r="B530" s="3" t="s">
        <v>203</v>
      </c>
      <c r="C530" s="17" t="s">
        <v>362</v>
      </c>
      <c r="D530" s="17" t="s">
        <v>352</v>
      </c>
      <c r="E530" s="3" t="s">
        <v>161</v>
      </c>
      <c r="F530" s="3" t="s">
        <v>8</v>
      </c>
      <c r="G530" s="7">
        <f>23710781.49/1000</f>
        <v>23710.781489999998</v>
      </c>
    </row>
    <row r="531" spans="1:7" ht="38.25" x14ac:dyDescent="0.25">
      <c r="A531" s="4" t="s">
        <v>31</v>
      </c>
      <c r="B531" s="3" t="s">
        <v>203</v>
      </c>
      <c r="C531" s="17" t="s">
        <v>362</v>
      </c>
      <c r="D531" s="17" t="s">
        <v>352</v>
      </c>
      <c r="E531" s="3" t="s">
        <v>161</v>
      </c>
      <c r="F531" s="3" t="s">
        <v>32</v>
      </c>
      <c r="G531" s="7">
        <f>23710781.49/1000</f>
        <v>23710.781489999998</v>
      </c>
    </row>
    <row r="532" spans="1:7" ht="63.75" x14ac:dyDescent="0.25">
      <c r="A532" s="4" t="s">
        <v>162</v>
      </c>
      <c r="B532" s="3" t="s">
        <v>203</v>
      </c>
      <c r="C532" s="17" t="s">
        <v>362</v>
      </c>
      <c r="D532" s="17" t="s">
        <v>352</v>
      </c>
      <c r="E532" s="3" t="s">
        <v>163</v>
      </c>
      <c r="F532" s="3" t="s">
        <v>8</v>
      </c>
      <c r="G532" s="7">
        <f>8771658.26/1000</f>
        <v>8771.6582600000002</v>
      </c>
    </row>
    <row r="533" spans="1:7" ht="38.25" x14ac:dyDescent="0.25">
      <c r="A533" s="4" t="s">
        <v>31</v>
      </c>
      <c r="B533" s="3" t="s">
        <v>203</v>
      </c>
      <c r="C533" s="17" t="s">
        <v>362</v>
      </c>
      <c r="D533" s="17" t="s">
        <v>352</v>
      </c>
      <c r="E533" s="3" t="s">
        <v>163</v>
      </c>
      <c r="F533" s="3" t="s">
        <v>32</v>
      </c>
      <c r="G533" s="7">
        <f>8771658.26/1000</f>
        <v>8771.6582600000002</v>
      </c>
    </row>
    <row r="534" spans="1:7" ht="25.5" x14ac:dyDescent="0.25">
      <c r="A534" s="4" t="s">
        <v>230</v>
      </c>
      <c r="B534" s="3" t="s">
        <v>203</v>
      </c>
      <c r="C534" s="17" t="s">
        <v>362</v>
      </c>
      <c r="D534" s="17" t="s">
        <v>352</v>
      </c>
      <c r="E534" s="3" t="s">
        <v>240</v>
      </c>
      <c r="F534" s="3" t="s">
        <v>8</v>
      </c>
      <c r="G534" s="7">
        <f>21011/1000</f>
        <v>21.010999999999999</v>
      </c>
    </row>
    <row r="535" spans="1:7" ht="38.25" x14ac:dyDescent="0.25">
      <c r="A535" s="4" t="s">
        <v>31</v>
      </c>
      <c r="B535" s="3" t="s">
        <v>203</v>
      </c>
      <c r="C535" s="17" t="s">
        <v>362</v>
      </c>
      <c r="D535" s="17" t="s">
        <v>352</v>
      </c>
      <c r="E535" s="3" t="s">
        <v>240</v>
      </c>
      <c r="F535" s="3" t="s">
        <v>32</v>
      </c>
      <c r="G535" s="7">
        <f>21011/1000</f>
        <v>21.010999999999999</v>
      </c>
    </row>
    <row r="536" spans="1:7" ht="63.75" x14ac:dyDescent="0.25">
      <c r="A536" s="4" t="s">
        <v>241</v>
      </c>
      <c r="B536" s="3" t="s">
        <v>203</v>
      </c>
      <c r="C536" s="17" t="s">
        <v>362</v>
      </c>
      <c r="D536" s="17" t="s">
        <v>352</v>
      </c>
      <c r="E536" s="3" t="s">
        <v>242</v>
      </c>
      <c r="F536" s="3" t="s">
        <v>8</v>
      </c>
      <c r="G536" s="7">
        <f>437144/1000</f>
        <v>437.14400000000001</v>
      </c>
    </row>
    <row r="537" spans="1:7" ht="178.5" x14ac:dyDescent="0.25">
      <c r="A537" s="4" t="s">
        <v>243</v>
      </c>
      <c r="B537" s="3" t="s">
        <v>203</v>
      </c>
      <c r="C537" s="17" t="s">
        <v>362</v>
      </c>
      <c r="D537" s="17" t="s">
        <v>352</v>
      </c>
      <c r="E537" s="3" t="s">
        <v>244</v>
      </c>
      <c r="F537" s="3" t="s">
        <v>8</v>
      </c>
      <c r="G537" s="7">
        <f>59892/1000</f>
        <v>59.892000000000003</v>
      </c>
    </row>
    <row r="538" spans="1:7" ht="89.25" x14ac:dyDescent="0.25">
      <c r="A538" s="4" t="s">
        <v>19</v>
      </c>
      <c r="B538" s="3" t="s">
        <v>203</v>
      </c>
      <c r="C538" s="17" t="s">
        <v>362</v>
      </c>
      <c r="D538" s="17" t="s">
        <v>352</v>
      </c>
      <c r="E538" s="3" t="s">
        <v>244</v>
      </c>
      <c r="F538" s="3" t="s">
        <v>20</v>
      </c>
      <c r="G538" s="7">
        <f>59892/1000</f>
        <v>59.892000000000003</v>
      </c>
    </row>
    <row r="539" spans="1:7" ht="25.5" x14ac:dyDescent="0.25">
      <c r="A539" s="4" t="s">
        <v>209</v>
      </c>
      <c r="B539" s="3" t="s">
        <v>203</v>
      </c>
      <c r="C539" s="17" t="s">
        <v>362</v>
      </c>
      <c r="D539" s="17" t="s">
        <v>352</v>
      </c>
      <c r="E539" s="3" t="s">
        <v>244</v>
      </c>
      <c r="F539" s="3" t="s">
        <v>210</v>
      </c>
      <c r="G539" s="7">
        <f>46000/1000</f>
        <v>46</v>
      </c>
    </row>
    <row r="540" spans="1:7" ht="51" x14ac:dyDescent="0.25">
      <c r="A540" s="4" t="s">
        <v>211</v>
      </c>
      <c r="B540" s="3" t="s">
        <v>203</v>
      </c>
      <c r="C540" s="17" t="s">
        <v>362</v>
      </c>
      <c r="D540" s="17" t="s">
        <v>352</v>
      </c>
      <c r="E540" s="3" t="s">
        <v>244</v>
      </c>
      <c r="F540" s="3" t="s">
        <v>212</v>
      </c>
      <c r="G540" s="7">
        <f>13892/1000</f>
        <v>13.891999999999999</v>
      </c>
    </row>
    <row r="541" spans="1:7" ht="76.5" x14ac:dyDescent="0.25">
      <c r="A541" s="4" t="s">
        <v>245</v>
      </c>
      <c r="B541" s="3" t="s">
        <v>203</v>
      </c>
      <c r="C541" s="17" t="s">
        <v>362</v>
      </c>
      <c r="D541" s="17" t="s">
        <v>352</v>
      </c>
      <c r="E541" s="3" t="s">
        <v>246</v>
      </c>
      <c r="F541" s="3" t="s">
        <v>8</v>
      </c>
      <c r="G541" s="7">
        <f>377252/1000</f>
        <v>377.25200000000001</v>
      </c>
    </row>
    <row r="542" spans="1:7" ht="89.25" x14ac:dyDescent="0.25">
      <c r="A542" s="4" t="s">
        <v>19</v>
      </c>
      <c r="B542" s="3" t="s">
        <v>203</v>
      </c>
      <c r="C542" s="17" t="s">
        <v>362</v>
      </c>
      <c r="D542" s="17" t="s">
        <v>352</v>
      </c>
      <c r="E542" s="3" t="s">
        <v>246</v>
      </c>
      <c r="F542" s="3" t="s">
        <v>20</v>
      </c>
      <c r="G542" s="7">
        <f>377252/1000</f>
        <v>377.25200000000001</v>
      </c>
    </row>
    <row r="543" spans="1:7" x14ac:dyDescent="0.25">
      <c r="A543" s="4" t="s">
        <v>247</v>
      </c>
      <c r="B543" s="3" t="s">
        <v>203</v>
      </c>
      <c r="C543" s="17" t="s">
        <v>362</v>
      </c>
      <c r="D543" s="17" t="s">
        <v>357</v>
      </c>
      <c r="E543" s="3" t="s">
        <v>7</v>
      </c>
      <c r="F543" s="3" t="s">
        <v>8</v>
      </c>
      <c r="G543" s="7">
        <f>15630800/1000</f>
        <v>15630.8</v>
      </c>
    </row>
    <row r="544" spans="1:7" ht="51" x14ac:dyDescent="0.25">
      <c r="A544" s="4" t="s">
        <v>154</v>
      </c>
      <c r="B544" s="3" t="s">
        <v>203</v>
      </c>
      <c r="C544" s="17" t="s">
        <v>362</v>
      </c>
      <c r="D544" s="17" t="s">
        <v>357</v>
      </c>
      <c r="E544" s="3" t="s">
        <v>155</v>
      </c>
      <c r="F544" s="3" t="s">
        <v>8</v>
      </c>
      <c r="G544" s="7">
        <f>15630800/1000</f>
        <v>15630.8</v>
      </c>
    </row>
    <row r="545" spans="1:7" ht="51" x14ac:dyDescent="0.25">
      <c r="A545" s="4" t="s">
        <v>248</v>
      </c>
      <c r="B545" s="3" t="s">
        <v>203</v>
      </c>
      <c r="C545" s="17" t="s">
        <v>362</v>
      </c>
      <c r="D545" s="17" t="s">
        <v>357</v>
      </c>
      <c r="E545" s="3" t="s">
        <v>155</v>
      </c>
      <c r="F545" s="3" t="s">
        <v>8</v>
      </c>
      <c r="G545" s="7">
        <f>392000/1000</f>
        <v>392</v>
      </c>
    </row>
    <row r="546" spans="1:7" ht="51" x14ac:dyDescent="0.25">
      <c r="A546" s="4" t="s">
        <v>205</v>
      </c>
      <c r="B546" s="3" t="s">
        <v>203</v>
      </c>
      <c r="C546" s="17" t="s">
        <v>362</v>
      </c>
      <c r="D546" s="17" t="s">
        <v>357</v>
      </c>
      <c r="E546" s="3" t="s">
        <v>249</v>
      </c>
      <c r="F546" s="3" t="s">
        <v>8</v>
      </c>
      <c r="G546" s="7">
        <f>392000/1000</f>
        <v>392</v>
      </c>
    </row>
    <row r="547" spans="1:7" ht="38.25" x14ac:dyDescent="0.25">
      <c r="A547" s="4" t="s">
        <v>250</v>
      </c>
      <c r="B547" s="3" t="s">
        <v>203</v>
      </c>
      <c r="C547" s="17" t="s">
        <v>362</v>
      </c>
      <c r="D547" s="17" t="s">
        <v>357</v>
      </c>
      <c r="E547" s="3" t="s">
        <v>249</v>
      </c>
      <c r="F547" s="3" t="s">
        <v>251</v>
      </c>
      <c r="G547" s="7">
        <f>392000/1000</f>
        <v>392</v>
      </c>
    </row>
    <row r="548" spans="1:7" ht="63.75" x14ac:dyDescent="0.25">
      <c r="A548" s="4" t="s">
        <v>241</v>
      </c>
      <c r="B548" s="3" t="s">
        <v>203</v>
      </c>
      <c r="C548" s="17" t="s">
        <v>362</v>
      </c>
      <c r="D548" s="17" t="s">
        <v>357</v>
      </c>
      <c r="E548" s="3" t="s">
        <v>242</v>
      </c>
      <c r="F548" s="3" t="s">
        <v>8</v>
      </c>
      <c r="G548" s="7">
        <f>15238800/1000</f>
        <v>15238.8</v>
      </c>
    </row>
    <row r="549" spans="1:7" ht="25.5" x14ac:dyDescent="0.25">
      <c r="A549" s="4" t="s">
        <v>252</v>
      </c>
      <c r="B549" s="3" t="s">
        <v>203</v>
      </c>
      <c r="C549" s="17" t="s">
        <v>362</v>
      </c>
      <c r="D549" s="17" t="s">
        <v>357</v>
      </c>
      <c r="E549" s="3" t="s">
        <v>253</v>
      </c>
      <c r="F549" s="3" t="s">
        <v>8</v>
      </c>
      <c r="G549" s="7">
        <f>7857300/1000</f>
        <v>7857.3</v>
      </c>
    </row>
    <row r="550" spans="1:7" ht="38.25" x14ac:dyDescent="0.25">
      <c r="A550" s="4" t="s">
        <v>250</v>
      </c>
      <c r="B550" s="3" t="s">
        <v>203</v>
      </c>
      <c r="C550" s="17" t="s">
        <v>362</v>
      </c>
      <c r="D550" s="17" t="s">
        <v>357</v>
      </c>
      <c r="E550" s="3" t="s">
        <v>253</v>
      </c>
      <c r="F550" s="3" t="s">
        <v>251</v>
      </c>
      <c r="G550" s="7">
        <f>7857300/1000</f>
        <v>7857.3</v>
      </c>
    </row>
    <row r="551" spans="1:7" ht="38.25" x14ac:dyDescent="0.25">
      <c r="A551" s="4" t="s">
        <v>254</v>
      </c>
      <c r="B551" s="3" t="s">
        <v>203</v>
      </c>
      <c r="C551" s="17" t="s">
        <v>362</v>
      </c>
      <c r="D551" s="17" t="s">
        <v>357</v>
      </c>
      <c r="E551" s="3" t="s">
        <v>255</v>
      </c>
      <c r="F551" s="3" t="s">
        <v>8</v>
      </c>
      <c r="G551" s="7">
        <f>7381500/1000</f>
        <v>7381.5</v>
      </c>
    </row>
    <row r="552" spans="1:7" ht="38.25" x14ac:dyDescent="0.25">
      <c r="A552" s="4" t="s">
        <v>250</v>
      </c>
      <c r="B552" s="3" t="s">
        <v>203</v>
      </c>
      <c r="C552" s="17" t="s">
        <v>362</v>
      </c>
      <c r="D552" s="17" t="s">
        <v>357</v>
      </c>
      <c r="E552" s="3" t="s">
        <v>255</v>
      </c>
      <c r="F552" s="3" t="s">
        <v>251</v>
      </c>
      <c r="G552" s="7">
        <f>7381500/1000</f>
        <v>7381.5</v>
      </c>
    </row>
    <row r="553" spans="1:7" ht="38.25" x14ac:dyDescent="0.25">
      <c r="A553" s="4" t="s">
        <v>256</v>
      </c>
      <c r="B553" s="3" t="s">
        <v>203</v>
      </c>
      <c r="C553" s="17" t="s">
        <v>362</v>
      </c>
      <c r="D553" s="17" t="s">
        <v>355</v>
      </c>
      <c r="E553" s="3" t="s">
        <v>7</v>
      </c>
      <c r="F553" s="3" t="s">
        <v>8</v>
      </c>
      <c r="G553" s="7">
        <f>360000/1000</f>
        <v>360</v>
      </c>
    </row>
    <row r="554" spans="1:7" ht="51" x14ac:dyDescent="0.25">
      <c r="A554" s="4" t="s">
        <v>154</v>
      </c>
      <c r="B554" s="3" t="s">
        <v>203</v>
      </c>
      <c r="C554" s="17" t="s">
        <v>362</v>
      </c>
      <c r="D554" s="17" t="s">
        <v>355</v>
      </c>
      <c r="E554" s="3" t="s">
        <v>155</v>
      </c>
      <c r="F554" s="3" t="s">
        <v>8</v>
      </c>
      <c r="G554" s="7">
        <f>360000/1000</f>
        <v>360</v>
      </c>
    </row>
    <row r="555" spans="1:7" ht="38.25" x14ac:dyDescent="0.25">
      <c r="A555" s="4" t="s">
        <v>257</v>
      </c>
      <c r="B555" s="3" t="s">
        <v>203</v>
      </c>
      <c r="C555" s="17" t="s">
        <v>362</v>
      </c>
      <c r="D555" s="17" t="s">
        <v>355</v>
      </c>
      <c r="E555" s="3" t="s">
        <v>258</v>
      </c>
      <c r="F555" s="3" t="s">
        <v>8</v>
      </c>
      <c r="G555" s="7">
        <f>360000/1000</f>
        <v>360</v>
      </c>
    </row>
    <row r="556" spans="1:7" ht="51" x14ac:dyDescent="0.25">
      <c r="A556" s="4" t="s">
        <v>259</v>
      </c>
      <c r="B556" s="3" t="s">
        <v>203</v>
      </c>
      <c r="C556" s="17" t="s">
        <v>362</v>
      </c>
      <c r="D556" s="17" t="s">
        <v>355</v>
      </c>
      <c r="E556" s="3" t="s">
        <v>260</v>
      </c>
      <c r="F556" s="3" t="s">
        <v>8</v>
      </c>
      <c r="G556" s="7">
        <f>360000/1000</f>
        <v>360</v>
      </c>
    </row>
    <row r="557" spans="1:7" ht="38.25" x14ac:dyDescent="0.25">
      <c r="A557" s="4" t="s">
        <v>31</v>
      </c>
      <c r="B557" s="3" t="s">
        <v>203</v>
      </c>
      <c r="C557" s="17" t="s">
        <v>362</v>
      </c>
      <c r="D557" s="17" t="s">
        <v>355</v>
      </c>
      <c r="E557" s="3" t="s">
        <v>260</v>
      </c>
      <c r="F557" s="3" t="s">
        <v>32</v>
      </c>
      <c r="G557" s="7">
        <f>360000/1000</f>
        <v>360</v>
      </c>
    </row>
    <row r="558" spans="1:7" x14ac:dyDescent="0.25">
      <c r="A558" s="4" t="s">
        <v>261</v>
      </c>
      <c r="B558" s="3" t="s">
        <v>203</v>
      </c>
      <c r="C558" s="17" t="s">
        <v>362</v>
      </c>
      <c r="D558" s="17" t="s">
        <v>362</v>
      </c>
      <c r="E558" s="3" t="s">
        <v>7</v>
      </c>
      <c r="F558" s="3" t="s">
        <v>8</v>
      </c>
      <c r="G558" s="7">
        <f>93371.85/1000</f>
        <v>93.371850000000009</v>
      </c>
    </row>
    <row r="559" spans="1:7" ht="51" x14ac:dyDescent="0.25">
      <c r="A559" s="4" t="s">
        <v>262</v>
      </c>
      <c r="B559" s="3" t="s">
        <v>203</v>
      </c>
      <c r="C559" s="17" t="s">
        <v>362</v>
      </c>
      <c r="D559" s="17" t="s">
        <v>362</v>
      </c>
      <c r="E559" s="3" t="s">
        <v>263</v>
      </c>
      <c r="F559" s="3" t="s">
        <v>8</v>
      </c>
      <c r="G559" s="7">
        <f>93371.85/1000</f>
        <v>93.371850000000009</v>
      </c>
    </row>
    <row r="560" spans="1:7" ht="25.5" x14ac:dyDescent="0.25">
      <c r="A560" s="4" t="s">
        <v>45</v>
      </c>
      <c r="B560" s="3" t="s">
        <v>203</v>
      </c>
      <c r="C560" s="17" t="s">
        <v>362</v>
      </c>
      <c r="D560" s="17" t="s">
        <v>362</v>
      </c>
      <c r="E560" s="3" t="s">
        <v>265</v>
      </c>
      <c r="F560" s="3" t="s">
        <v>8</v>
      </c>
      <c r="G560" s="7">
        <f>62877.85/1000</f>
        <v>62.877849999999995</v>
      </c>
    </row>
    <row r="561" spans="1:7" ht="89.25" x14ac:dyDescent="0.25">
      <c r="A561" s="4" t="s">
        <v>19</v>
      </c>
      <c r="B561" s="3" t="s">
        <v>203</v>
      </c>
      <c r="C561" s="17" t="s">
        <v>362</v>
      </c>
      <c r="D561" s="17" t="s">
        <v>362</v>
      </c>
      <c r="E561" s="3" t="s">
        <v>265</v>
      </c>
      <c r="F561" s="3" t="s">
        <v>20</v>
      </c>
      <c r="G561" s="7">
        <f>39907.85/1000</f>
        <v>39.907849999999996</v>
      </c>
    </row>
    <row r="562" spans="1:7" ht="38.25" x14ac:dyDescent="0.25">
      <c r="A562" s="4" t="s">
        <v>31</v>
      </c>
      <c r="B562" s="3" t="s">
        <v>203</v>
      </c>
      <c r="C562" s="17" t="s">
        <v>362</v>
      </c>
      <c r="D562" s="17" t="s">
        <v>362</v>
      </c>
      <c r="E562" s="3" t="s">
        <v>265</v>
      </c>
      <c r="F562" s="3" t="s">
        <v>32</v>
      </c>
      <c r="G562" s="7">
        <f>4970/1000</f>
        <v>4.97</v>
      </c>
    </row>
    <row r="563" spans="1:7" ht="25.5" x14ac:dyDescent="0.25">
      <c r="A563" s="4" t="s">
        <v>102</v>
      </c>
      <c r="B563" s="3" t="s">
        <v>203</v>
      </c>
      <c r="C563" s="17" t="s">
        <v>362</v>
      </c>
      <c r="D563" s="17" t="s">
        <v>362</v>
      </c>
      <c r="E563" s="3" t="s">
        <v>265</v>
      </c>
      <c r="F563" s="3" t="s">
        <v>103</v>
      </c>
      <c r="G563" s="7">
        <f>18000/1000</f>
        <v>18</v>
      </c>
    </row>
    <row r="564" spans="1:7" ht="25.5" x14ac:dyDescent="0.25">
      <c r="A564" s="4" t="s">
        <v>45</v>
      </c>
      <c r="B564" s="3" t="s">
        <v>203</v>
      </c>
      <c r="C564" s="17" t="s">
        <v>362</v>
      </c>
      <c r="D564" s="17" t="s">
        <v>362</v>
      </c>
      <c r="E564" s="3" t="s">
        <v>266</v>
      </c>
      <c r="F564" s="3" t="s">
        <v>8</v>
      </c>
      <c r="G564" s="7">
        <f>30494/1000</f>
        <v>30.494</v>
      </c>
    </row>
    <row r="565" spans="1:7" ht="38.25" x14ac:dyDescent="0.25">
      <c r="A565" s="4" t="s">
        <v>250</v>
      </c>
      <c r="B565" s="3" t="s">
        <v>203</v>
      </c>
      <c r="C565" s="17" t="s">
        <v>362</v>
      </c>
      <c r="D565" s="17" t="s">
        <v>362</v>
      </c>
      <c r="E565" s="3" t="s">
        <v>266</v>
      </c>
      <c r="F565" s="3" t="s">
        <v>251</v>
      </c>
      <c r="G565" s="7">
        <f>30494/1000</f>
        <v>30.494</v>
      </c>
    </row>
    <row r="566" spans="1:7" ht="25.5" x14ac:dyDescent="0.25">
      <c r="A566" s="4" t="s">
        <v>267</v>
      </c>
      <c r="B566" s="3" t="s">
        <v>203</v>
      </c>
      <c r="C566" s="17" t="s">
        <v>362</v>
      </c>
      <c r="D566" s="17" t="s">
        <v>360</v>
      </c>
      <c r="E566" s="3" t="s">
        <v>7</v>
      </c>
      <c r="F566" s="3" t="s">
        <v>8</v>
      </c>
      <c r="G566" s="7">
        <f>(16928011.24+33000)/1000</f>
        <v>16961.01124</v>
      </c>
    </row>
    <row r="567" spans="1:7" ht="51" x14ac:dyDescent="0.25">
      <c r="A567" s="4" t="s">
        <v>154</v>
      </c>
      <c r="B567" s="3" t="s">
        <v>203</v>
      </c>
      <c r="C567" s="17" t="s">
        <v>362</v>
      </c>
      <c r="D567" s="17" t="s">
        <v>360</v>
      </c>
      <c r="E567" s="3" t="s">
        <v>155</v>
      </c>
      <c r="F567" s="3" t="s">
        <v>8</v>
      </c>
      <c r="G567" s="7">
        <f>16777011.24/1000</f>
        <v>16777.01124</v>
      </c>
    </row>
    <row r="568" spans="1:7" ht="51" x14ac:dyDescent="0.25">
      <c r="A568" s="4" t="s">
        <v>248</v>
      </c>
      <c r="B568" s="3" t="s">
        <v>203</v>
      </c>
      <c r="C568" s="17" t="s">
        <v>362</v>
      </c>
      <c r="D568" s="17" t="s">
        <v>360</v>
      </c>
      <c r="E568" s="3" t="s">
        <v>155</v>
      </c>
      <c r="F568" s="3" t="s">
        <v>8</v>
      </c>
      <c r="G568" s="7">
        <f>13356481.24/1000</f>
        <v>13356.481240000001</v>
      </c>
    </row>
    <row r="569" spans="1:7" ht="25.5" x14ac:dyDescent="0.25">
      <c r="A569" s="4" t="s">
        <v>268</v>
      </c>
      <c r="B569" s="3" t="s">
        <v>203</v>
      </c>
      <c r="C569" s="17" t="s">
        <v>362</v>
      </c>
      <c r="D569" s="17" t="s">
        <v>360</v>
      </c>
      <c r="E569" s="3" t="s">
        <v>269</v>
      </c>
      <c r="F569" s="3" t="s">
        <v>8</v>
      </c>
      <c r="G569" s="7">
        <f>5646888.16/1000</f>
        <v>5646.8881600000004</v>
      </c>
    </row>
    <row r="570" spans="1:7" ht="89.25" x14ac:dyDescent="0.25">
      <c r="A570" s="4" t="s">
        <v>19</v>
      </c>
      <c r="B570" s="3" t="s">
        <v>203</v>
      </c>
      <c r="C570" s="17" t="s">
        <v>362</v>
      </c>
      <c r="D570" s="17" t="s">
        <v>360</v>
      </c>
      <c r="E570" s="3" t="s">
        <v>269</v>
      </c>
      <c r="F570" s="3" t="s">
        <v>20</v>
      </c>
      <c r="G570" s="7">
        <f>4676888.16/1000</f>
        <v>4676.8881600000004</v>
      </c>
    </row>
    <row r="571" spans="1:7" ht="38.25" x14ac:dyDescent="0.25">
      <c r="A571" s="4" t="s">
        <v>31</v>
      </c>
      <c r="B571" s="3" t="s">
        <v>203</v>
      </c>
      <c r="C571" s="17" t="s">
        <v>362</v>
      </c>
      <c r="D571" s="17" t="s">
        <v>360</v>
      </c>
      <c r="E571" s="3" t="s">
        <v>269</v>
      </c>
      <c r="F571" s="3" t="s">
        <v>32</v>
      </c>
      <c r="G571" s="7">
        <f>970000/1000</f>
        <v>970</v>
      </c>
    </row>
    <row r="572" spans="1:7" ht="38.25" x14ac:dyDescent="0.25">
      <c r="A572" s="4" t="s">
        <v>270</v>
      </c>
      <c r="B572" s="3" t="s">
        <v>203</v>
      </c>
      <c r="C572" s="17" t="s">
        <v>362</v>
      </c>
      <c r="D572" s="17" t="s">
        <v>360</v>
      </c>
      <c r="E572" s="3" t="s">
        <v>271</v>
      </c>
      <c r="F572" s="3" t="s">
        <v>8</v>
      </c>
      <c r="G572" s="7">
        <f>5464704.09/1000</f>
        <v>5464.7040900000002</v>
      </c>
    </row>
    <row r="573" spans="1:7" ht="89.25" x14ac:dyDescent="0.25">
      <c r="A573" s="4" t="s">
        <v>19</v>
      </c>
      <c r="B573" s="3" t="s">
        <v>203</v>
      </c>
      <c r="C573" s="17" t="s">
        <v>362</v>
      </c>
      <c r="D573" s="17" t="s">
        <v>360</v>
      </c>
      <c r="E573" s="3" t="s">
        <v>271</v>
      </c>
      <c r="F573" s="3" t="s">
        <v>20</v>
      </c>
      <c r="G573" s="7">
        <f>5208604.09/1000</f>
        <v>5208.6040899999998</v>
      </c>
    </row>
    <row r="574" spans="1:7" ht="38.25" x14ac:dyDescent="0.25">
      <c r="A574" s="4" t="s">
        <v>31</v>
      </c>
      <c r="B574" s="3" t="s">
        <v>203</v>
      </c>
      <c r="C574" s="17" t="s">
        <v>362</v>
      </c>
      <c r="D574" s="17" t="s">
        <v>360</v>
      </c>
      <c r="E574" s="3" t="s">
        <v>271</v>
      </c>
      <c r="F574" s="3" t="s">
        <v>32</v>
      </c>
      <c r="G574" s="7">
        <f>256100/1000</f>
        <v>256.10000000000002</v>
      </c>
    </row>
    <row r="575" spans="1:7" ht="25.5" x14ac:dyDescent="0.25">
      <c r="A575" s="4" t="s">
        <v>272</v>
      </c>
      <c r="B575" s="3" t="s">
        <v>203</v>
      </c>
      <c r="C575" s="17" t="s">
        <v>362</v>
      </c>
      <c r="D575" s="17" t="s">
        <v>360</v>
      </c>
      <c r="E575" s="3" t="s">
        <v>273</v>
      </c>
      <c r="F575" s="3" t="s">
        <v>8</v>
      </c>
      <c r="G575" s="7">
        <f>2244888.99/1000</f>
        <v>2244.8889900000004</v>
      </c>
    </row>
    <row r="576" spans="1:7" ht="89.25" x14ac:dyDescent="0.25">
      <c r="A576" s="4" t="s">
        <v>19</v>
      </c>
      <c r="B576" s="3" t="s">
        <v>203</v>
      </c>
      <c r="C576" s="17" t="s">
        <v>362</v>
      </c>
      <c r="D576" s="17" t="s">
        <v>360</v>
      </c>
      <c r="E576" s="3" t="s">
        <v>273</v>
      </c>
      <c r="F576" s="3" t="s">
        <v>20</v>
      </c>
      <c r="G576" s="7">
        <f>2106896.78/1000</f>
        <v>2106.8967799999996</v>
      </c>
    </row>
    <row r="577" spans="1:7" ht="38.25" x14ac:dyDescent="0.25">
      <c r="A577" s="4" t="s">
        <v>31</v>
      </c>
      <c r="B577" s="3" t="s">
        <v>203</v>
      </c>
      <c r="C577" s="17" t="s">
        <v>362</v>
      </c>
      <c r="D577" s="17" t="s">
        <v>360</v>
      </c>
      <c r="E577" s="3" t="s">
        <v>273</v>
      </c>
      <c r="F577" s="3" t="s">
        <v>32</v>
      </c>
      <c r="G577" s="7">
        <f>137992.21/1000</f>
        <v>137.99221</v>
      </c>
    </row>
    <row r="578" spans="1:7" ht="63.75" x14ac:dyDescent="0.25">
      <c r="A578" s="4" t="s">
        <v>241</v>
      </c>
      <c r="B578" s="3" t="s">
        <v>203</v>
      </c>
      <c r="C578" s="17" t="s">
        <v>362</v>
      </c>
      <c r="D578" s="17" t="s">
        <v>360</v>
      </c>
      <c r="E578" s="3" t="s">
        <v>242</v>
      </c>
      <c r="F578" s="3" t="s">
        <v>8</v>
      </c>
      <c r="G578" s="7">
        <f>3420530/1000</f>
        <v>3420.53</v>
      </c>
    </row>
    <row r="579" spans="1:7" ht="38.25" x14ac:dyDescent="0.25">
      <c r="A579" s="4" t="s">
        <v>274</v>
      </c>
      <c r="B579" s="3" t="s">
        <v>203</v>
      </c>
      <c r="C579" s="17" t="s">
        <v>362</v>
      </c>
      <c r="D579" s="17" t="s">
        <v>360</v>
      </c>
      <c r="E579" s="3" t="s">
        <v>275</v>
      </c>
      <c r="F579" s="3" t="s">
        <v>8</v>
      </c>
      <c r="G579" s="7">
        <f>938000/1000</f>
        <v>938</v>
      </c>
    </row>
    <row r="580" spans="1:7" ht="89.25" x14ac:dyDescent="0.25">
      <c r="A580" s="4" t="s">
        <v>19</v>
      </c>
      <c r="B580" s="3" t="s">
        <v>203</v>
      </c>
      <c r="C580" s="17" t="s">
        <v>362</v>
      </c>
      <c r="D580" s="17" t="s">
        <v>360</v>
      </c>
      <c r="E580" s="3" t="s">
        <v>275</v>
      </c>
      <c r="F580" s="3" t="s">
        <v>20</v>
      </c>
      <c r="G580" s="7">
        <f>938000/1000</f>
        <v>938</v>
      </c>
    </row>
    <row r="581" spans="1:7" ht="63.75" x14ac:dyDescent="0.25">
      <c r="A581" s="4" t="s">
        <v>276</v>
      </c>
      <c r="B581" s="3" t="s">
        <v>203</v>
      </c>
      <c r="C581" s="17" t="s">
        <v>362</v>
      </c>
      <c r="D581" s="17" t="s">
        <v>360</v>
      </c>
      <c r="E581" s="3" t="s">
        <v>277</v>
      </c>
      <c r="F581" s="3" t="s">
        <v>8</v>
      </c>
      <c r="G581" s="7">
        <f>135200/1000</f>
        <v>135.19999999999999</v>
      </c>
    </row>
    <row r="582" spans="1:7" ht="89.25" x14ac:dyDescent="0.25">
      <c r="A582" s="4" t="s">
        <v>19</v>
      </c>
      <c r="B582" s="3" t="s">
        <v>203</v>
      </c>
      <c r="C582" s="17" t="s">
        <v>362</v>
      </c>
      <c r="D582" s="17" t="s">
        <v>360</v>
      </c>
      <c r="E582" s="3" t="s">
        <v>277</v>
      </c>
      <c r="F582" s="3" t="s">
        <v>20</v>
      </c>
      <c r="G582" s="7">
        <f>135200/1000</f>
        <v>135.19999999999999</v>
      </c>
    </row>
    <row r="583" spans="1:7" ht="38.25" x14ac:dyDescent="0.25">
      <c r="A583" s="4" t="s">
        <v>278</v>
      </c>
      <c r="B583" s="3" t="s">
        <v>203</v>
      </c>
      <c r="C583" s="17" t="s">
        <v>362</v>
      </c>
      <c r="D583" s="17" t="s">
        <v>360</v>
      </c>
      <c r="E583" s="3" t="s">
        <v>279</v>
      </c>
      <c r="F583" s="3" t="s">
        <v>8</v>
      </c>
      <c r="G583" s="7">
        <f>584375/1000</f>
        <v>584.375</v>
      </c>
    </row>
    <row r="584" spans="1:7" ht="38.25" x14ac:dyDescent="0.25">
      <c r="A584" s="4" t="s">
        <v>31</v>
      </c>
      <c r="B584" s="3" t="s">
        <v>203</v>
      </c>
      <c r="C584" s="17" t="s">
        <v>362</v>
      </c>
      <c r="D584" s="17" t="s">
        <v>360</v>
      </c>
      <c r="E584" s="3" t="s">
        <v>279</v>
      </c>
      <c r="F584" s="3" t="s">
        <v>32</v>
      </c>
      <c r="G584" s="7">
        <f>584375/1000</f>
        <v>584.375</v>
      </c>
    </row>
    <row r="585" spans="1:7" ht="51" x14ac:dyDescent="0.25">
      <c r="A585" s="4" t="s">
        <v>280</v>
      </c>
      <c r="B585" s="3" t="s">
        <v>203</v>
      </c>
      <c r="C585" s="17" t="s">
        <v>362</v>
      </c>
      <c r="D585" s="17" t="s">
        <v>360</v>
      </c>
      <c r="E585" s="3" t="s">
        <v>281</v>
      </c>
      <c r="F585" s="3" t="s">
        <v>8</v>
      </c>
      <c r="G585" s="7">
        <f>468750/1000</f>
        <v>468.75</v>
      </c>
    </row>
    <row r="586" spans="1:7" ht="38.25" x14ac:dyDescent="0.25">
      <c r="A586" s="4" t="s">
        <v>31</v>
      </c>
      <c r="B586" s="3" t="s">
        <v>203</v>
      </c>
      <c r="C586" s="17" t="s">
        <v>362</v>
      </c>
      <c r="D586" s="17" t="s">
        <v>360</v>
      </c>
      <c r="E586" s="3" t="s">
        <v>281</v>
      </c>
      <c r="F586" s="3" t="s">
        <v>32</v>
      </c>
      <c r="G586" s="7">
        <f>468750/1000</f>
        <v>468.75</v>
      </c>
    </row>
    <row r="587" spans="1:7" ht="38.25" x14ac:dyDescent="0.25">
      <c r="A587" s="4" t="s">
        <v>282</v>
      </c>
      <c r="B587" s="3" t="s">
        <v>203</v>
      </c>
      <c r="C587" s="17" t="s">
        <v>362</v>
      </c>
      <c r="D587" s="17" t="s">
        <v>360</v>
      </c>
      <c r="E587" s="3" t="s">
        <v>283</v>
      </c>
      <c r="F587" s="3" t="s">
        <v>8</v>
      </c>
      <c r="G587" s="7">
        <f>1266105/1000</f>
        <v>1266.105</v>
      </c>
    </row>
    <row r="588" spans="1:7" ht="25.5" x14ac:dyDescent="0.25">
      <c r="A588" s="4" t="s">
        <v>102</v>
      </c>
      <c r="B588" s="3" t="s">
        <v>203</v>
      </c>
      <c r="C588" s="17" t="s">
        <v>362</v>
      </c>
      <c r="D588" s="17" t="s">
        <v>360</v>
      </c>
      <c r="E588" s="3" t="s">
        <v>283</v>
      </c>
      <c r="F588" s="3" t="s">
        <v>103</v>
      </c>
      <c r="G588" s="7">
        <f>1266105/1000</f>
        <v>1266.105</v>
      </c>
    </row>
    <row r="589" spans="1:7" ht="38.25" x14ac:dyDescent="0.25">
      <c r="A589" s="4" t="s">
        <v>284</v>
      </c>
      <c r="B589" s="3" t="s">
        <v>203</v>
      </c>
      <c r="C589" s="17" t="s">
        <v>362</v>
      </c>
      <c r="D589" s="17" t="s">
        <v>360</v>
      </c>
      <c r="E589" s="3" t="s">
        <v>285</v>
      </c>
      <c r="F589" s="3" t="s">
        <v>8</v>
      </c>
      <c r="G589" s="7">
        <f>10800/1000</f>
        <v>10.8</v>
      </c>
    </row>
    <row r="590" spans="1:7" ht="38.25" x14ac:dyDescent="0.25">
      <c r="A590" s="4" t="s">
        <v>31</v>
      </c>
      <c r="B590" s="3" t="s">
        <v>203</v>
      </c>
      <c r="C590" s="17" t="s">
        <v>362</v>
      </c>
      <c r="D590" s="17" t="s">
        <v>360</v>
      </c>
      <c r="E590" s="3" t="s">
        <v>285</v>
      </c>
      <c r="F590" s="3" t="s">
        <v>32</v>
      </c>
      <c r="G590" s="7">
        <f>10800/1000</f>
        <v>10.8</v>
      </c>
    </row>
    <row r="591" spans="1:7" ht="51" x14ac:dyDescent="0.25">
      <c r="A591" s="4" t="s">
        <v>280</v>
      </c>
      <c r="B591" s="3" t="s">
        <v>203</v>
      </c>
      <c r="C591" s="17" t="s">
        <v>362</v>
      </c>
      <c r="D591" s="17" t="s">
        <v>360</v>
      </c>
      <c r="E591" s="3" t="s">
        <v>286</v>
      </c>
      <c r="F591" s="3" t="s">
        <v>8</v>
      </c>
      <c r="G591" s="7">
        <f>4900/1000</f>
        <v>4.9000000000000004</v>
      </c>
    </row>
    <row r="592" spans="1:7" ht="38.25" x14ac:dyDescent="0.25">
      <c r="A592" s="4" t="s">
        <v>31</v>
      </c>
      <c r="B592" s="3" t="s">
        <v>203</v>
      </c>
      <c r="C592" s="17" t="s">
        <v>362</v>
      </c>
      <c r="D592" s="17" t="s">
        <v>360</v>
      </c>
      <c r="E592" s="3" t="s">
        <v>286</v>
      </c>
      <c r="F592" s="3" t="s">
        <v>32</v>
      </c>
      <c r="G592" s="7">
        <f>4900/1000</f>
        <v>4.9000000000000004</v>
      </c>
    </row>
    <row r="593" spans="1:7" ht="38.25" x14ac:dyDescent="0.25">
      <c r="A593" s="4" t="s">
        <v>282</v>
      </c>
      <c r="B593" s="3" t="s">
        <v>203</v>
      </c>
      <c r="C593" s="17" t="s">
        <v>362</v>
      </c>
      <c r="D593" s="17" t="s">
        <v>360</v>
      </c>
      <c r="E593" s="3" t="s">
        <v>287</v>
      </c>
      <c r="F593" s="3" t="s">
        <v>8</v>
      </c>
      <c r="G593" s="7">
        <f>12400/1000</f>
        <v>12.4</v>
      </c>
    </row>
    <row r="594" spans="1:7" ht="25.5" x14ac:dyDescent="0.25">
      <c r="A594" s="4" t="s">
        <v>102</v>
      </c>
      <c r="B594" s="3" t="s">
        <v>203</v>
      </c>
      <c r="C594" s="17" t="s">
        <v>362</v>
      </c>
      <c r="D594" s="17" t="s">
        <v>360</v>
      </c>
      <c r="E594" s="3" t="s">
        <v>287</v>
      </c>
      <c r="F594" s="3" t="s">
        <v>103</v>
      </c>
      <c r="G594" s="7">
        <f>12400/1000</f>
        <v>12.4</v>
      </c>
    </row>
    <row r="595" spans="1:7" ht="63.75" x14ac:dyDescent="0.25">
      <c r="A595" s="4" t="s">
        <v>13</v>
      </c>
      <c r="B595" s="3" t="s">
        <v>203</v>
      </c>
      <c r="C595" s="17" t="s">
        <v>362</v>
      </c>
      <c r="D595" s="17" t="s">
        <v>360</v>
      </c>
      <c r="E595" s="3" t="s">
        <v>14</v>
      </c>
      <c r="F595" s="3" t="s">
        <v>8</v>
      </c>
      <c r="G595" s="7">
        <v>184</v>
      </c>
    </row>
    <row r="596" spans="1:7" ht="25.5" x14ac:dyDescent="0.25">
      <c r="A596" s="4" t="s">
        <v>21</v>
      </c>
      <c r="B596" s="3" t="s">
        <v>203</v>
      </c>
      <c r="C596" s="17" t="s">
        <v>362</v>
      </c>
      <c r="D596" s="17" t="s">
        <v>360</v>
      </c>
      <c r="E596" s="3" t="s">
        <v>22</v>
      </c>
      <c r="F596" s="3" t="s">
        <v>8</v>
      </c>
      <c r="G596" s="7">
        <v>184</v>
      </c>
    </row>
    <row r="597" spans="1:7" ht="25.5" x14ac:dyDescent="0.25">
      <c r="A597" s="4" t="s">
        <v>25</v>
      </c>
      <c r="B597" s="3" t="s">
        <v>203</v>
      </c>
      <c r="C597" s="17" t="s">
        <v>362</v>
      </c>
      <c r="D597" s="17" t="s">
        <v>360</v>
      </c>
      <c r="E597" s="3" t="s">
        <v>24</v>
      </c>
      <c r="F597" s="3" t="s">
        <v>8</v>
      </c>
      <c r="G597" s="7">
        <f>75000/1000</f>
        <v>75</v>
      </c>
    </row>
    <row r="598" spans="1:7" ht="89.25" x14ac:dyDescent="0.25">
      <c r="A598" s="4" t="s">
        <v>19</v>
      </c>
      <c r="B598" s="3" t="s">
        <v>203</v>
      </c>
      <c r="C598" s="17" t="s">
        <v>362</v>
      </c>
      <c r="D598" s="17" t="s">
        <v>360</v>
      </c>
      <c r="E598" s="3" t="s">
        <v>24</v>
      </c>
      <c r="F598" s="3" t="s">
        <v>20</v>
      </c>
      <c r="G598" s="7">
        <f>75000/1000</f>
        <v>75</v>
      </c>
    </row>
    <row r="599" spans="1:7" ht="63.75" x14ac:dyDescent="0.25">
      <c r="A599" s="4" t="s">
        <v>26</v>
      </c>
      <c r="B599" s="3" t="s">
        <v>203</v>
      </c>
      <c r="C599" s="17" t="s">
        <v>362</v>
      </c>
      <c r="D599" s="17" t="s">
        <v>360</v>
      </c>
      <c r="E599" s="3" t="s">
        <v>27</v>
      </c>
      <c r="F599" s="3" t="s">
        <v>8</v>
      </c>
      <c r="G599" s="7">
        <f>G600</f>
        <v>109</v>
      </c>
    </row>
    <row r="600" spans="1:7" ht="89.25" x14ac:dyDescent="0.25">
      <c r="A600" s="4" t="s">
        <v>19</v>
      </c>
      <c r="B600" s="3" t="s">
        <v>203</v>
      </c>
      <c r="C600" s="17" t="s">
        <v>362</v>
      </c>
      <c r="D600" s="17" t="s">
        <v>360</v>
      </c>
      <c r="E600" s="3" t="s">
        <v>27</v>
      </c>
      <c r="F600" s="3" t="s">
        <v>20</v>
      </c>
      <c r="G600" s="7">
        <f>(76000+33000)/1000</f>
        <v>109</v>
      </c>
    </row>
    <row r="601" spans="1:7" x14ac:dyDescent="0.25">
      <c r="A601" s="4" t="s">
        <v>164</v>
      </c>
      <c r="B601" s="3" t="s">
        <v>203</v>
      </c>
      <c r="C601" s="17" t="s">
        <v>358</v>
      </c>
      <c r="D601" s="17" t="s">
        <v>353</v>
      </c>
      <c r="E601" s="3" t="s">
        <v>7</v>
      </c>
      <c r="F601" s="3" t="s">
        <v>8</v>
      </c>
      <c r="G601" s="7">
        <f>21071500/1000</f>
        <v>21071.5</v>
      </c>
    </row>
    <row r="602" spans="1:7" x14ac:dyDescent="0.25">
      <c r="A602" s="4" t="s">
        <v>288</v>
      </c>
      <c r="B602" s="3" t="s">
        <v>203</v>
      </c>
      <c r="C602" s="17" t="s">
        <v>358</v>
      </c>
      <c r="D602" s="17" t="s">
        <v>354</v>
      </c>
      <c r="E602" s="3" t="s">
        <v>7</v>
      </c>
      <c r="F602" s="3" t="s">
        <v>8</v>
      </c>
      <c r="G602" s="7">
        <f>21071500/1000</f>
        <v>21071.5</v>
      </c>
    </row>
    <row r="603" spans="1:7" ht="51" x14ac:dyDescent="0.25">
      <c r="A603" s="4" t="s">
        <v>154</v>
      </c>
      <c r="B603" s="3" t="s">
        <v>203</v>
      </c>
      <c r="C603" s="17" t="s">
        <v>358</v>
      </c>
      <c r="D603" s="17" t="s">
        <v>354</v>
      </c>
      <c r="E603" s="3" t="s">
        <v>155</v>
      </c>
      <c r="F603" s="3" t="s">
        <v>8</v>
      </c>
      <c r="G603" s="7">
        <f>21071500/1000</f>
        <v>21071.5</v>
      </c>
    </row>
    <row r="604" spans="1:7" ht="25.5" x14ac:dyDescent="0.25">
      <c r="A604" s="4" t="s">
        <v>156</v>
      </c>
      <c r="B604" s="3" t="s">
        <v>203</v>
      </c>
      <c r="C604" s="17" t="s">
        <v>358</v>
      </c>
      <c r="D604" s="17" t="s">
        <v>354</v>
      </c>
      <c r="E604" s="3" t="s">
        <v>157</v>
      </c>
      <c r="F604" s="3" t="s">
        <v>8</v>
      </c>
      <c r="G604" s="7">
        <f>438500/1000</f>
        <v>438.5</v>
      </c>
    </row>
    <row r="605" spans="1:7" ht="114.75" x14ac:dyDescent="0.25">
      <c r="A605" s="4" t="s">
        <v>289</v>
      </c>
      <c r="B605" s="3" t="s">
        <v>203</v>
      </c>
      <c r="C605" s="17" t="s">
        <v>358</v>
      </c>
      <c r="D605" s="17" t="s">
        <v>354</v>
      </c>
      <c r="E605" s="3" t="s">
        <v>290</v>
      </c>
      <c r="F605" s="3" t="s">
        <v>8</v>
      </c>
      <c r="G605" s="7">
        <f>270000/1000</f>
        <v>270</v>
      </c>
    </row>
    <row r="606" spans="1:7" ht="25.5" x14ac:dyDescent="0.25">
      <c r="A606" s="4" t="s">
        <v>102</v>
      </c>
      <c r="B606" s="3" t="s">
        <v>203</v>
      </c>
      <c r="C606" s="17" t="s">
        <v>358</v>
      </c>
      <c r="D606" s="17" t="s">
        <v>354</v>
      </c>
      <c r="E606" s="3" t="s">
        <v>290</v>
      </c>
      <c r="F606" s="3" t="s">
        <v>103</v>
      </c>
      <c r="G606" s="7">
        <f>270000/1000</f>
        <v>270</v>
      </c>
    </row>
    <row r="607" spans="1:7" ht="38.25" x14ac:dyDescent="0.25">
      <c r="A607" s="4" t="s">
        <v>219</v>
      </c>
      <c r="B607" s="3" t="s">
        <v>203</v>
      </c>
      <c r="C607" s="17" t="s">
        <v>358</v>
      </c>
      <c r="D607" s="17" t="s">
        <v>354</v>
      </c>
      <c r="E607" s="3" t="s">
        <v>225</v>
      </c>
      <c r="F607" s="3" t="s">
        <v>8</v>
      </c>
      <c r="G607" s="7">
        <f>168500/1000</f>
        <v>168.5</v>
      </c>
    </row>
    <row r="608" spans="1:7" ht="25.5" x14ac:dyDescent="0.25">
      <c r="A608" s="4" t="s">
        <v>102</v>
      </c>
      <c r="B608" s="3" t="s">
        <v>203</v>
      </c>
      <c r="C608" s="17" t="s">
        <v>358</v>
      </c>
      <c r="D608" s="17" t="s">
        <v>354</v>
      </c>
      <c r="E608" s="3" t="s">
        <v>225</v>
      </c>
      <c r="F608" s="3" t="s">
        <v>103</v>
      </c>
      <c r="G608" s="7">
        <f>168500/1000</f>
        <v>168.5</v>
      </c>
    </row>
    <row r="609" spans="1:7" ht="63.75" x14ac:dyDescent="0.25">
      <c r="A609" s="4" t="s">
        <v>241</v>
      </c>
      <c r="B609" s="3" t="s">
        <v>203</v>
      </c>
      <c r="C609" s="17" t="s">
        <v>358</v>
      </c>
      <c r="D609" s="17" t="s">
        <v>354</v>
      </c>
      <c r="E609" s="3" t="s">
        <v>242</v>
      </c>
      <c r="F609" s="3" t="s">
        <v>8</v>
      </c>
      <c r="G609" s="7">
        <f>20633000/1000</f>
        <v>20633</v>
      </c>
    </row>
    <row r="610" spans="1:7" ht="25.5" x14ac:dyDescent="0.25">
      <c r="A610" s="4" t="s">
        <v>291</v>
      </c>
      <c r="B610" s="3" t="s">
        <v>203</v>
      </c>
      <c r="C610" s="17" t="s">
        <v>358</v>
      </c>
      <c r="D610" s="17" t="s">
        <v>354</v>
      </c>
      <c r="E610" s="3" t="s">
        <v>292</v>
      </c>
      <c r="F610" s="3" t="s">
        <v>8</v>
      </c>
      <c r="G610" s="7">
        <f>10877000/1000</f>
        <v>10877</v>
      </c>
    </row>
    <row r="611" spans="1:7" ht="25.5" x14ac:dyDescent="0.25">
      <c r="A611" s="4" t="s">
        <v>102</v>
      </c>
      <c r="B611" s="3" t="s">
        <v>203</v>
      </c>
      <c r="C611" s="17" t="s">
        <v>358</v>
      </c>
      <c r="D611" s="17" t="s">
        <v>354</v>
      </c>
      <c r="E611" s="3" t="s">
        <v>292</v>
      </c>
      <c r="F611" s="3" t="s">
        <v>103</v>
      </c>
      <c r="G611" s="7">
        <f>10877000/1000</f>
        <v>10877</v>
      </c>
    </row>
    <row r="612" spans="1:7" ht="38.25" x14ac:dyDescent="0.25">
      <c r="A612" s="4" t="s">
        <v>293</v>
      </c>
      <c r="B612" s="3" t="s">
        <v>203</v>
      </c>
      <c r="C612" s="17" t="s">
        <v>358</v>
      </c>
      <c r="D612" s="17" t="s">
        <v>354</v>
      </c>
      <c r="E612" s="3" t="s">
        <v>294</v>
      </c>
      <c r="F612" s="3" t="s">
        <v>8</v>
      </c>
      <c r="G612" s="7">
        <f>7696000/1000</f>
        <v>7696</v>
      </c>
    </row>
    <row r="613" spans="1:7" ht="25.5" x14ac:dyDescent="0.25">
      <c r="A613" s="4" t="s">
        <v>102</v>
      </c>
      <c r="B613" s="3" t="s">
        <v>203</v>
      </c>
      <c r="C613" s="17" t="s">
        <v>358</v>
      </c>
      <c r="D613" s="17" t="s">
        <v>354</v>
      </c>
      <c r="E613" s="3" t="s">
        <v>294</v>
      </c>
      <c r="F613" s="3" t="s">
        <v>103</v>
      </c>
      <c r="G613" s="7">
        <f>7696000/1000</f>
        <v>7696</v>
      </c>
    </row>
    <row r="614" spans="1:7" ht="25.5" x14ac:dyDescent="0.25">
      <c r="A614" s="4" t="s">
        <v>295</v>
      </c>
      <c r="B614" s="3" t="s">
        <v>203</v>
      </c>
      <c r="C614" s="17" t="s">
        <v>358</v>
      </c>
      <c r="D614" s="17" t="s">
        <v>354</v>
      </c>
      <c r="E614" s="3" t="s">
        <v>296</v>
      </c>
      <c r="F614" s="3" t="s">
        <v>8</v>
      </c>
      <c r="G614" s="7">
        <f>1660000/1000</f>
        <v>1660</v>
      </c>
    </row>
    <row r="615" spans="1:7" ht="25.5" x14ac:dyDescent="0.25">
      <c r="A615" s="4" t="s">
        <v>102</v>
      </c>
      <c r="B615" s="3" t="s">
        <v>203</v>
      </c>
      <c r="C615" s="17" t="s">
        <v>358</v>
      </c>
      <c r="D615" s="17" t="s">
        <v>354</v>
      </c>
      <c r="E615" s="3" t="s">
        <v>296</v>
      </c>
      <c r="F615" s="3" t="s">
        <v>103</v>
      </c>
      <c r="G615" s="7">
        <f>1660000/1000</f>
        <v>1660</v>
      </c>
    </row>
    <row r="616" spans="1:7" ht="51" x14ac:dyDescent="0.25">
      <c r="A616" s="4" t="s">
        <v>297</v>
      </c>
      <c r="B616" s="3" t="s">
        <v>203</v>
      </c>
      <c r="C616" s="17" t="s">
        <v>358</v>
      </c>
      <c r="D616" s="17" t="s">
        <v>354</v>
      </c>
      <c r="E616" s="3" t="s">
        <v>298</v>
      </c>
      <c r="F616" s="3" t="s">
        <v>8</v>
      </c>
      <c r="G616" s="7">
        <f>100000/1000</f>
        <v>100</v>
      </c>
    </row>
    <row r="617" spans="1:7" ht="25.5" x14ac:dyDescent="0.25">
      <c r="A617" s="4" t="s">
        <v>102</v>
      </c>
      <c r="B617" s="3" t="s">
        <v>203</v>
      </c>
      <c r="C617" s="17" t="s">
        <v>358</v>
      </c>
      <c r="D617" s="17" t="s">
        <v>354</v>
      </c>
      <c r="E617" s="3" t="s">
        <v>298</v>
      </c>
      <c r="F617" s="3" t="s">
        <v>103</v>
      </c>
      <c r="G617" s="7">
        <f>100000/1000</f>
        <v>100</v>
      </c>
    </row>
    <row r="618" spans="1:7" ht="51" x14ac:dyDescent="0.25">
      <c r="A618" s="4" t="s">
        <v>299</v>
      </c>
      <c r="B618" s="3" t="s">
        <v>203</v>
      </c>
      <c r="C618" s="17" t="s">
        <v>358</v>
      </c>
      <c r="D618" s="17" t="s">
        <v>354</v>
      </c>
      <c r="E618" s="3" t="s">
        <v>300</v>
      </c>
      <c r="F618" s="3" t="s">
        <v>8</v>
      </c>
      <c r="G618" s="7">
        <f>300000/1000</f>
        <v>300</v>
      </c>
    </row>
    <row r="619" spans="1:7" ht="25.5" x14ac:dyDescent="0.25">
      <c r="A619" s="4" t="s">
        <v>102</v>
      </c>
      <c r="B619" s="3" t="s">
        <v>203</v>
      </c>
      <c r="C619" s="17" t="s">
        <v>358</v>
      </c>
      <c r="D619" s="17" t="s">
        <v>354</v>
      </c>
      <c r="E619" s="3" t="s">
        <v>300</v>
      </c>
      <c r="F619" s="3" t="s">
        <v>103</v>
      </c>
      <c r="G619" s="7">
        <f>300000/1000</f>
        <v>300</v>
      </c>
    </row>
    <row r="620" spans="1:7" x14ac:dyDescent="0.25">
      <c r="A620" s="4" t="s">
        <v>301</v>
      </c>
      <c r="B620" s="3" t="s">
        <v>203</v>
      </c>
      <c r="C620" s="17" t="s">
        <v>365</v>
      </c>
      <c r="D620" s="17" t="s">
        <v>353</v>
      </c>
      <c r="E620" s="3" t="s">
        <v>7</v>
      </c>
      <c r="F620" s="3" t="s">
        <v>8</v>
      </c>
      <c r="G620" s="7">
        <f>5005000/1000</f>
        <v>5005</v>
      </c>
    </row>
    <row r="621" spans="1:7" x14ac:dyDescent="0.25">
      <c r="A621" s="4" t="s">
        <v>302</v>
      </c>
      <c r="B621" s="3" t="s">
        <v>203</v>
      </c>
      <c r="C621" s="17" t="s">
        <v>365</v>
      </c>
      <c r="D621" s="17" t="s">
        <v>351</v>
      </c>
      <c r="E621" s="3" t="s">
        <v>7</v>
      </c>
      <c r="F621" s="3" t="s">
        <v>8</v>
      </c>
      <c r="G621" s="7">
        <f>5005000/1000</f>
        <v>5005</v>
      </c>
    </row>
    <row r="622" spans="1:7" ht="114.75" x14ac:dyDescent="0.25">
      <c r="A622" s="4" t="s">
        <v>41</v>
      </c>
      <c r="B622" s="3" t="s">
        <v>203</v>
      </c>
      <c r="C622" s="17" t="s">
        <v>365</v>
      </c>
      <c r="D622" s="17" t="s">
        <v>351</v>
      </c>
      <c r="E622" s="3" t="s">
        <v>42</v>
      </c>
      <c r="F622" s="3" t="s">
        <v>8</v>
      </c>
      <c r="G622" s="7">
        <f>5005000/1000</f>
        <v>5005</v>
      </c>
    </row>
    <row r="623" spans="1:7" ht="63.75" x14ac:dyDescent="0.25">
      <c r="A623" s="4" t="s">
        <v>303</v>
      </c>
      <c r="B623" s="3" t="s">
        <v>203</v>
      </c>
      <c r="C623" s="17" t="s">
        <v>365</v>
      </c>
      <c r="D623" s="17" t="s">
        <v>351</v>
      </c>
      <c r="E623" s="3" t="s">
        <v>304</v>
      </c>
      <c r="F623" s="3" t="s">
        <v>8</v>
      </c>
      <c r="G623" s="7">
        <f>5005000/1000</f>
        <v>5005</v>
      </c>
    </row>
    <row r="624" spans="1:7" ht="25.5" x14ac:dyDescent="0.25">
      <c r="A624" s="4" t="s">
        <v>305</v>
      </c>
      <c r="B624" s="3" t="s">
        <v>203</v>
      </c>
      <c r="C624" s="17" t="s">
        <v>365</v>
      </c>
      <c r="D624" s="17" t="s">
        <v>351</v>
      </c>
      <c r="E624" s="3" t="s">
        <v>306</v>
      </c>
      <c r="F624" s="3" t="s">
        <v>8</v>
      </c>
      <c r="G624" s="7">
        <f>5000000/1000</f>
        <v>5000</v>
      </c>
    </row>
    <row r="625" spans="1:7" ht="38.25" x14ac:dyDescent="0.25">
      <c r="A625" s="4" t="s">
        <v>31</v>
      </c>
      <c r="B625" s="3" t="s">
        <v>203</v>
      </c>
      <c r="C625" s="17" t="s">
        <v>365</v>
      </c>
      <c r="D625" s="17" t="s">
        <v>351</v>
      </c>
      <c r="E625" s="3" t="s">
        <v>306</v>
      </c>
      <c r="F625" s="3" t="s">
        <v>32</v>
      </c>
      <c r="G625" s="7">
        <f>5000000/1000</f>
        <v>5000</v>
      </c>
    </row>
    <row r="626" spans="1:7" ht="25.5" x14ac:dyDescent="0.25">
      <c r="A626" s="4" t="s">
        <v>305</v>
      </c>
      <c r="B626" s="3" t="s">
        <v>203</v>
      </c>
      <c r="C626" s="17" t="s">
        <v>365</v>
      </c>
      <c r="D626" s="17" t="s">
        <v>351</v>
      </c>
      <c r="E626" s="3" t="s">
        <v>307</v>
      </c>
      <c r="F626" s="3" t="s">
        <v>8</v>
      </c>
      <c r="G626" s="7">
        <f>5000/1000</f>
        <v>5</v>
      </c>
    </row>
    <row r="627" spans="1:7" ht="38.25" x14ac:dyDescent="0.25">
      <c r="A627" s="4" t="s">
        <v>31</v>
      </c>
      <c r="B627" s="3" t="s">
        <v>203</v>
      </c>
      <c r="C627" s="17" t="s">
        <v>365</v>
      </c>
      <c r="D627" s="17" t="s">
        <v>351</v>
      </c>
      <c r="E627" s="3" t="s">
        <v>307</v>
      </c>
      <c r="F627" s="3" t="s">
        <v>32</v>
      </c>
      <c r="G627" s="7">
        <f>5000/1000</f>
        <v>5</v>
      </c>
    </row>
    <row r="628" spans="1:7" ht="76.5" x14ac:dyDescent="0.25">
      <c r="A628" s="11" t="s">
        <v>308</v>
      </c>
      <c r="B628" s="12" t="s">
        <v>309</v>
      </c>
      <c r="C628" s="18" t="s">
        <v>353</v>
      </c>
      <c r="D628" s="18" t="s">
        <v>353</v>
      </c>
      <c r="E628" s="12" t="s">
        <v>7</v>
      </c>
      <c r="F628" s="12" t="s">
        <v>8</v>
      </c>
      <c r="G628" s="14">
        <f>52049121.06/1000</f>
        <v>52049.121060000005</v>
      </c>
    </row>
    <row r="629" spans="1:7" ht="25.5" x14ac:dyDescent="0.25">
      <c r="A629" s="4" t="s">
        <v>11</v>
      </c>
      <c r="B629" s="3" t="s">
        <v>309</v>
      </c>
      <c r="C629" s="17" t="s">
        <v>351</v>
      </c>
      <c r="D629" s="17" t="s">
        <v>353</v>
      </c>
      <c r="E629" s="3" t="s">
        <v>7</v>
      </c>
      <c r="F629" s="3" t="s">
        <v>8</v>
      </c>
      <c r="G629" s="7">
        <f t="shared" ref="G629:G634" si="8">1000/1000</f>
        <v>1</v>
      </c>
    </row>
    <row r="630" spans="1:7" ht="25.5" x14ac:dyDescent="0.25">
      <c r="A630" s="4" t="s">
        <v>40</v>
      </c>
      <c r="B630" s="3" t="s">
        <v>309</v>
      </c>
      <c r="C630" s="17" t="s">
        <v>351</v>
      </c>
      <c r="D630" s="17" t="s">
        <v>356</v>
      </c>
      <c r="E630" s="3" t="s">
        <v>7</v>
      </c>
      <c r="F630" s="3" t="s">
        <v>8</v>
      </c>
      <c r="G630" s="7">
        <f t="shared" si="8"/>
        <v>1</v>
      </c>
    </row>
    <row r="631" spans="1:7" ht="63.75" x14ac:dyDescent="0.25">
      <c r="A631" s="4" t="s">
        <v>13</v>
      </c>
      <c r="B631" s="3" t="s">
        <v>309</v>
      </c>
      <c r="C631" s="17" t="s">
        <v>351</v>
      </c>
      <c r="D631" s="17" t="s">
        <v>356</v>
      </c>
      <c r="E631" s="3" t="s">
        <v>14</v>
      </c>
      <c r="F631" s="3" t="s">
        <v>8</v>
      </c>
      <c r="G631" s="7">
        <f t="shared" si="8"/>
        <v>1</v>
      </c>
    </row>
    <row r="632" spans="1:7" ht="25.5" x14ac:dyDescent="0.25">
      <c r="A632" s="4" t="s">
        <v>62</v>
      </c>
      <c r="B632" s="3" t="s">
        <v>309</v>
      </c>
      <c r="C632" s="17" t="s">
        <v>351</v>
      </c>
      <c r="D632" s="17" t="s">
        <v>356</v>
      </c>
      <c r="E632" s="3" t="s">
        <v>63</v>
      </c>
      <c r="F632" s="3" t="s">
        <v>8</v>
      </c>
      <c r="G632" s="7">
        <f t="shared" si="8"/>
        <v>1</v>
      </c>
    </row>
    <row r="633" spans="1:7" ht="25.5" x14ac:dyDescent="0.25">
      <c r="A633" s="4" t="s">
        <v>66</v>
      </c>
      <c r="B633" s="3" t="s">
        <v>309</v>
      </c>
      <c r="C633" s="17" t="s">
        <v>351</v>
      </c>
      <c r="D633" s="17" t="s">
        <v>356</v>
      </c>
      <c r="E633" s="3" t="s">
        <v>67</v>
      </c>
      <c r="F633" s="3" t="s">
        <v>8</v>
      </c>
      <c r="G633" s="7">
        <f t="shared" si="8"/>
        <v>1</v>
      </c>
    </row>
    <row r="634" spans="1:7" ht="38.25" x14ac:dyDescent="0.25">
      <c r="A634" s="4" t="s">
        <v>31</v>
      </c>
      <c r="B634" s="3" t="s">
        <v>309</v>
      </c>
      <c r="C634" s="17" t="s">
        <v>351</v>
      </c>
      <c r="D634" s="17" t="s">
        <v>356</v>
      </c>
      <c r="E634" s="3" t="s">
        <v>67</v>
      </c>
      <c r="F634" s="3" t="s">
        <v>32</v>
      </c>
      <c r="G634" s="7">
        <f t="shared" si="8"/>
        <v>1</v>
      </c>
    </row>
    <row r="635" spans="1:7" ht="25.5" x14ac:dyDescent="0.25">
      <c r="A635" s="4" t="s">
        <v>131</v>
      </c>
      <c r="B635" s="3" t="s">
        <v>309</v>
      </c>
      <c r="C635" s="17" t="s">
        <v>355</v>
      </c>
      <c r="D635" s="17" t="s">
        <v>353</v>
      </c>
      <c r="E635" s="3" t="s">
        <v>7</v>
      </c>
      <c r="F635" s="3" t="s">
        <v>8</v>
      </c>
      <c r="G635" s="7">
        <f>184259.26/1000</f>
        <v>184.25926000000001</v>
      </c>
    </row>
    <row r="636" spans="1:7" x14ac:dyDescent="0.25">
      <c r="A636" s="4" t="s">
        <v>146</v>
      </c>
      <c r="B636" s="3" t="s">
        <v>309</v>
      </c>
      <c r="C636" s="17" t="s">
        <v>355</v>
      </c>
      <c r="D636" s="17" t="s">
        <v>357</v>
      </c>
      <c r="E636" s="3" t="s">
        <v>7</v>
      </c>
      <c r="F636" s="3" t="s">
        <v>8</v>
      </c>
      <c r="G636" s="7">
        <f>184259.26/1000</f>
        <v>184.25926000000001</v>
      </c>
    </row>
    <row r="637" spans="1:7" ht="63.75" x14ac:dyDescent="0.25">
      <c r="A637" s="4" t="s">
        <v>310</v>
      </c>
      <c r="B637" s="3" t="s">
        <v>309</v>
      </c>
      <c r="C637" s="17" t="s">
        <v>355</v>
      </c>
      <c r="D637" s="17" t="s">
        <v>357</v>
      </c>
      <c r="E637" s="3" t="s">
        <v>311</v>
      </c>
      <c r="F637" s="3" t="s">
        <v>8</v>
      </c>
      <c r="G637" s="7">
        <f>184259.26/1000</f>
        <v>184.25926000000001</v>
      </c>
    </row>
    <row r="638" spans="1:7" ht="25.5" x14ac:dyDescent="0.25">
      <c r="A638" s="4" t="s">
        <v>45</v>
      </c>
      <c r="B638" s="3" t="s">
        <v>309</v>
      </c>
      <c r="C638" s="17" t="s">
        <v>355</v>
      </c>
      <c r="D638" s="17" t="s">
        <v>357</v>
      </c>
      <c r="E638" s="3" t="s">
        <v>312</v>
      </c>
      <c r="F638" s="3" t="s">
        <v>8</v>
      </c>
      <c r="G638" s="7">
        <f>25000/1000</f>
        <v>25</v>
      </c>
    </row>
    <row r="639" spans="1:7" ht="38.25" x14ac:dyDescent="0.25">
      <c r="A639" s="4" t="s">
        <v>31</v>
      </c>
      <c r="B639" s="3" t="s">
        <v>309</v>
      </c>
      <c r="C639" s="17" t="s">
        <v>355</v>
      </c>
      <c r="D639" s="17" t="s">
        <v>357</v>
      </c>
      <c r="E639" s="3" t="s">
        <v>312</v>
      </c>
      <c r="F639" s="3" t="s">
        <v>32</v>
      </c>
      <c r="G639" s="7">
        <f>25000/1000</f>
        <v>25</v>
      </c>
    </row>
    <row r="640" spans="1:7" ht="51" x14ac:dyDescent="0.25">
      <c r="A640" s="4" t="s">
        <v>313</v>
      </c>
      <c r="B640" s="3" t="s">
        <v>309</v>
      </c>
      <c r="C640" s="17" t="s">
        <v>355</v>
      </c>
      <c r="D640" s="17" t="s">
        <v>357</v>
      </c>
      <c r="E640" s="3" t="s">
        <v>314</v>
      </c>
      <c r="F640" s="3" t="s">
        <v>8</v>
      </c>
      <c r="G640" s="7">
        <f>159259.26/1000</f>
        <v>159.25926000000001</v>
      </c>
    </row>
    <row r="641" spans="1:7" ht="38.25" x14ac:dyDescent="0.25">
      <c r="A641" s="4" t="s">
        <v>31</v>
      </c>
      <c r="B641" s="3" t="s">
        <v>309</v>
      </c>
      <c r="C641" s="17" t="s">
        <v>355</v>
      </c>
      <c r="D641" s="17" t="s">
        <v>357</v>
      </c>
      <c r="E641" s="3" t="s">
        <v>314</v>
      </c>
      <c r="F641" s="3" t="s">
        <v>32</v>
      </c>
      <c r="G641" s="7">
        <f>159259.26/1000</f>
        <v>159.25926000000001</v>
      </c>
    </row>
    <row r="642" spans="1:7" x14ac:dyDescent="0.25">
      <c r="A642" s="4" t="s">
        <v>152</v>
      </c>
      <c r="B642" s="3" t="s">
        <v>309</v>
      </c>
      <c r="C642" s="17" t="s">
        <v>362</v>
      </c>
      <c r="D642" s="17" t="s">
        <v>353</v>
      </c>
      <c r="E642" s="3" t="s">
        <v>7</v>
      </c>
      <c r="F642" s="3" t="s">
        <v>8</v>
      </c>
      <c r="G642" s="7">
        <f>5430938.81/1000</f>
        <v>5430.9388099999996</v>
      </c>
    </row>
    <row r="643" spans="1:7" x14ac:dyDescent="0.25">
      <c r="A643" s="4" t="s">
        <v>247</v>
      </c>
      <c r="B643" s="3" t="s">
        <v>309</v>
      </c>
      <c r="C643" s="17" t="s">
        <v>362</v>
      </c>
      <c r="D643" s="17" t="s">
        <v>357</v>
      </c>
      <c r="E643" s="3" t="s">
        <v>7</v>
      </c>
      <c r="F643" s="3" t="s">
        <v>8</v>
      </c>
      <c r="G643" s="7">
        <f>5234310.66/1000</f>
        <v>5234.3106600000001</v>
      </c>
    </row>
    <row r="644" spans="1:7" ht="63.75" x14ac:dyDescent="0.25">
      <c r="A644" s="4" t="s">
        <v>310</v>
      </c>
      <c r="B644" s="3" t="s">
        <v>309</v>
      </c>
      <c r="C644" s="17" t="s">
        <v>362</v>
      </c>
      <c r="D644" s="17" t="s">
        <v>357</v>
      </c>
      <c r="E644" s="3" t="s">
        <v>311</v>
      </c>
      <c r="F644" s="3" t="s">
        <v>8</v>
      </c>
      <c r="G644" s="7">
        <f>5130630.66/1000</f>
        <v>5130.6306599999998</v>
      </c>
    </row>
    <row r="645" spans="1:7" ht="38.25" x14ac:dyDescent="0.25">
      <c r="A645" s="4" t="s">
        <v>217</v>
      </c>
      <c r="B645" s="3" t="s">
        <v>309</v>
      </c>
      <c r="C645" s="17" t="s">
        <v>362</v>
      </c>
      <c r="D645" s="17" t="s">
        <v>357</v>
      </c>
      <c r="E645" s="3" t="s">
        <v>315</v>
      </c>
      <c r="F645" s="3" t="s">
        <v>8</v>
      </c>
      <c r="G645" s="7">
        <f>5120583.16/1000</f>
        <v>5120.5831600000001</v>
      </c>
    </row>
    <row r="646" spans="1:7" ht="89.25" x14ac:dyDescent="0.25">
      <c r="A646" s="4" t="s">
        <v>19</v>
      </c>
      <c r="B646" s="3" t="s">
        <v>309</v>
      </c>
      <c r="C646" s="17" t="s">
        <v>362</v>
      </c>
      <c r="D646" s="17" t="s">
        <v>357</v>
      </c>
      <c r="E646" s="3" t="s">
        <v>315</v>
      </c>
      <c r="F646" s="3" t="s">
        <v>20</v>
      </c>
      <c r="G646" s="7">
        <f>4546683.16/1000</f>
        <v>4546.6831600000005</v>
      </c>
    </row>
    <row r="647" spans="1:7" ht="38.25" x14ac:dyDescent="0.25">
      <c r="A647" s="4" t="s">
        <v>31</v>
      </c>
      <c r="B647" s="3" t="s">
        <v>309</v>
      </c>
      <c r="C647" s="17" t="s">
        <v>362</v>
      </c>
      <c r="D647" s="17" t="s">
        <v>357</v>
      </c>
      <c r="E647" s="3" t="s">
        <v>315</v>
      </c>
      <c r="F647" s="3" t="s">
        <v>32</v>
      </c>
      <c r="G647" s="7">
        <f>565664.86/1000</f>
        <v>565.66485999999998</v>
      </c>
    </row>
    <row r="648" spans="1:7" ht="25.5" x14ac:dyDescent="0.25">
      <c r="A648" s="4" t="s">
        <v>35</v>
      </c>
      <c r="B648" s="3" t="s">
        <v>309</v>
      </c>
      <c r="C648" s="17" t="s">
        <v>362</v>
      </c>
      <c r="D648" s="17" t="s">
        <v>357</v>
      </c>
      <c r="E648" s="3" t="s">
        <v>315</v>
      </c>
      <c r="F648" s="3" t="s">
        <v>36</v>
      </c>
      <c r="G648" s="7">
        <f>8235.14/1000</f>
        <v>8.2351399999999995</v>
      </c>
    </row>
    <row r="649" spans="1:7" ht="25.5" x14ac:dyDescent="0.25">
      <c r="A649" s="4" t="s">
        <v>45</v>
      </c>
      <c r="B649" s="3" t="s">
        <v>309</v>
      </c>
      <c r="C649" s="17" t="s">
        <v>362</v>
      </c>
      <c r="D649" s="17" t="s">
        <v>357</v>
      </c>
      <c r="E649" s="3" t="s">
        <v>316</v>
      </c>
      <c r="F649" s="3" t="s">
        <v>8</v>
      </c>
      <c r="G649" s="7">
        <f>10047.5/1000</f>
        <v>10.047499999999999</v>
      </c>
    </row>
    <row r="650" spans="1:7" ht="38.25" x14ac:dyDescent="0.25">
      <c r="A650" s="4" t="s">
        <v>31</v>
      </c>
      <c r="B650" s="3" t="s">
        <v>309</v>
      </c>
      <c r="C650" s="17" t="s">
        <v>362</v>
      </c>
      <c r="D650" s="17" t="s">
        <v>357</v>
      </c>
      <c r="E650" s="3" t="s">
        <v>316</v>
      </c>
      <c r="F650" s="3" t="s">
        <v>32</v>
      </c>
      <c r="G650" s="7">
        <f>10047.5/1000</f>
        <v>10.047499999999999</v>
      </c>
    </row>
    <row r="651" spans="1:7" ht="63.75" x14ac:dyDescent="0.25">
      <c r="A651" s="4" t="s">
        <v>13</v>
      </c>
      <c r="B651" s="3" t="s">
        <v>309</v>
      </c>
      <c r="C651" s="17" t="s">
        <v>362</v>
      </c>
      <c r="D651" s="17" t="s">
        <v>357</v>
      </c>
      <c r="E651" s="3" t="s">
        <v>14</v>
      </c>
      <c r="F651" s="3" t="s">
        <v>8</v>
      </c>
      <c r="G651" s="7">
        <f>103680/1000</f>
        <v>103.68</v>
      </c>
    </row>
    <row r="652" spans="1:7" ht="25.5" x14ac:dyDescent="0.25">
      <c r="A652" s="4" t="s">
        <v>21</v>
      </c>
      <c r="B652" s="3" t="s">
        <v>309</v>
      </c>
      <c r="C652" s="17" t="s">
        <v>362</v>
      </c>
      <c r="D652" s="17" t="s">
        <v>357</v>
      </c>
      <c r="E652" s="3" t="s">
        <v>22</v>
      </c>
      <c r="F652" s="3" t="s">
        <v>8</v>
      </c>
      <c r="G652" s="7">
        <f>103680/1000</f>
        <v>103.68</v>
      </c>
    </row>
    <row r="653" spans="1:7" ht="51" x14ac:dyDescent="0.25">
      <c r="A653" s="4" t="s">
        <v>205</v>
      </c>
      <c r="B653" s="3" t="s">
        <v>309</v>
      </c>
      <c r="C653" s="17" t="s">
        <v>362</v>
      </c>
      <c r="D653" s="17" t="s">
        <v>357</v>
      </c>
      <c r="E653" s="3" t="s">
        <v>317</v>
      </c>
      <c r="F653" s="3" t="s">
        <v>8</v>
      </c>
      <c r="G653" s="7">
        <f>103680/1000</f>
        <v>103.68</v>
      </c>
    </row>
    <row r="654" spans="1:7" ht="89.25" x14ac:dyDescent="0.25">
      <c r="A654" s="4" t="s">
        <v>19</v>
      </c>
      <c r="B654" s="3" t="s">
        <v>309</v>
      </c>
      <c r="C654" s="17" t="s">
        <v>362</v>
      </c>
      <c r="D654" s="17" t="s">
        <v>357</v>
      </c>
      <c r="E654" s="3" t="s">
        <v>317</v>
      </c>
      <c r="F654" s="3" t="s">
        <v>20</v>
      </c>
      <c r="G654" s="7">
        <f>103680/1000</f>
        <v>103.68</v>
      </c>
    </row>
    <row r="655" spans="1:7" x14ac:dyDescent="0.25">
      <c r="A655" s="4" t="s">
        <v>261</v>
      </c>
      <c r="B655" s="3" t="s">
        <v>309</v>
      </c>
      <c r="C655" s="17" t="s">
        <v>362</v>
      </c>
      <c r="D655" s="17" t="s">
        <v>362</v>
      </c>
      <c r="E655" s="3" t="s">
        <v>7</v>
      </c>
      <c r="F655" s="3" t="s">
        <v>8</v>
      </c>
      <c r="G655" s="7">
        <f>196628.15/1000</f>
        <v>196.62815000000001</v>
      </c>
    </row>
    <row r="656" spans="1:7" ht="51" x14ac:dyDescent="0.25">
      <c r="A656" s="4" t="s">
        <v>262</v>
      </c>
      <c r="B656" s="3" t="s">
        <v>309</v>
      </c>
      <c r="C656" s="17" t="s">
        <v>362</v>
      </c>
      <c r="D656" s="17" t="s">
        <v>362</v>
      </c>
      <c r="E656" s="3" t="s">
        <v>263</v>
      </c>
      <c r="F656" s="3" t="s">
        <v>8</v>
      </c>
      <c r="G656" s="7">
        <f>196628.15/1000</f>
        <v>196.62815000000001</v>
      </c>
    </row>
    <row r="657" spans="1:7" ht="25.5" x14ac:dyDescent="0.25">
      <c r="A657" s="4" t="s">
        <v>45</v>
      </c>
      <c r="B657" s="3" t="s">
        <v>309</v>
      </c>
      <c r="C657" s="17" t="s">
        <v>362</v>
      </c>
      <c r="D657" s="17" t="s">
        <v>362</v>
      </c>
      <c r="E657" s="3" t="s">
        <v>264</v>
      </c>
      <c r="F657" s="3" t="s">
        <v>8</v>
      </c>
      <c r="G657" s="7">
        <f>28000/1000</f>
        <v>28</v>
      </c>
    </row>
    <row r="658" spans="1:7" ht="38.25" x14ac:dyDescent="0.25">
      <c r="A658" s="4" t="s">
        <v>31</v>
      </c>
      <c r="B658" s="3" t="s">
        <v>309</v>
      </c>
      <c r="C658" s="17" t="s">
        <v>362</v>
      </c>
      <c r="D658" s="17" t="s">
        <v>362</v>
      </c>
      <c r="E658" s="3" t="s">
        <v>264</v>
      </c>
      <c r="F658" s="3" t="s">
        <v>32</v>
      </c>
      <c r="G658" s="7">
        <f>28000/1000</f>
        <v>28</v>
      </c>
    </row>
    <row r="659" spans="1:7" ht="25.5" x14ac:dyDescent="0.25">
      <c r="A659" s="4" t="s">
        <v>45</v>
      </c>
      <c r="B659" s="3" t="s">
        <v>309</v>
      </c>
      <c r="C659" s="17" t="s">
        <v>362</v>
      </c>
      <c r="D659" s="17" t="s">
        <v>362</v>
      </c>
      <c r="E659" s="3" t="s">
        <v>265</v>
      </c>
      <c r="F659" s="3" t="s">
        <v>8</v>
      </c>
      <c r="G659" s="7">
        <f>107662.15/1000</f>
        <v>107.66215</v>
      </c>
    </row>
    <row r="660" spans="1:7" ht="38.25" x14ac:dyDescent="0.25">
      <c r="A660" s="4" t="s">
        <v>31</v>
      </c>
      <c r="B660" s="3" t="s">
        <v>309</v>
      </c>
      <c r="C660" s="17" t="s">
        <v>362</v>
      </c>
      <c r="D660" s="17" t="s">
        <v>362</v>
      </c>
      <c r="E660" s="3" t="s">
        <v>265</v>
      </c>
      <c r="F660" s="3" t="s">
        <v>32</v>
      </c>
      <c r="G660" s="7">
        <f>86662.15/1000</f>
        <v>86.662149999999997</v>
      </c>
    </row>
    <row r="661" spans="1:7" ht="25.5" x14ac:dyDescent="0.25">
      <c r="A661" s="4" t="s">
        <v>102</v>
      </c>
      <c r="B661" s="3" t="s">
        <v>309</v>
      </c>
      <c r="C661" s="17" t="s">
        <v>362</v>
      </c>
      <c r="D661" s="17" t="s">
        <v>362</v>
      </c>
      <c r="E661" s="3" t="s">
        <v>265</v>
      </c>
      <c r="F661" s="3" t="s">
        <v>103</v>
      </c>
      <c r="G661" s="7">
        <f>21000/1000</f>
        <v>21</v>
      </c>
    </row>
    <row r="662" spans="1:7" ht="25.5" x14ac:dyDescent="0.25">
      <c r="A662" s="4" t="s">
        <v>45</v>
      </c>
      <c r="B662" s="3" t="s">
        <v>309</v>
      </c>
      <c r="C662" s="17" t="s">
        <v>362</v>
      </c>
      <c r="D662" s="17" t="s">
        <v>362</v>
      </c>
      <c r="E662" s="3" t="s">
        <v>266</v>
      </c>
      <c r="F662" s="3" t="s">
        <v>8</v>
      </c>
      <c r="G662" s="7">
        <f>60966/1000</f>
        <v>60.966000000000001</v>
      </c>
    </row>
    <row r="663" spans="1:7" ht="38.25" x14ac:dyDescent="0.25">
      <c r="A663" s="4" t="s">
        <v>31</v>
      </c>
      <c r="B663" s="3" t="s">
        <v>309</v>
      </c>
      <c r="C663" s="17" t="s">
        <v>362</v>
      </c>
      <c r="D663" s="17" t="s">
        <v>362</v>
      </c>
      <c r="E663" s="3" t="s">
        <v>266</v>
      </c>
      <c r="F663" s="3" t="s">
        <v>32</v>
      </c>
      <c r="G663" s="7">
        <f>50966/1000</f>
        <v>50.966000000000001</v>
      </c>
    </row>
    <row r="664" spans="1:7" ht="25.5" x14ac:dyDescent="0.25">
      <c r="A664" s="4" t="s">
        <v>102</v>
      </c>
      <c r="B664" s="3" t="s">
        <v>309</v>
      </c>
      <c r="C664" s="17" t="s">
        <v>362</v>
      </c>
      <c r="D664" s="17" t="s">
        <v>362</v>
      </c>
      <c r="E664" s="3" t="s">
        <v>266</v>
      </c>
      <c r="F664" s="3" t="s">
        <v>103</v>
      </c>
      <c r="G664" s="7">
        <f>10000/1000</f>
        <v>10</v>
      </c>
    </row>
    <row r="665" spans="1:7" x14ac:dyDescent="0.25">
      <c r="A665" s="4" t="s">
        <v>192</v>
      </c>
      <c r="B665" s="3" t="s">
        <v>309</v>
      </c>
      <c r="C665" s="17" t="s">
        <v>364</v>
      </c>
      <c r="D665" s="17" t="s">
        <v>353</v>
      </c>
      <c r="E665" s="3" t="s">
        <v>7</v>
      </c>
      <c r="F665" s="3" t="s">
        <v>8</v>
      </c>
      <c r="G665" s="7">
        <f>46037372.99/1000</f>
        <v>46037.372990000003</v>
      </c>
    </row>
    <row r="666" spans="1:7" x14ac:dyDescent="0.25">
      <c r="A666" s="4" t="s">
        <v>193</v>
      </c>
      <c r="B666" s="3" t="s">
        <v>309</v>
      </c>
      <c r="C666" s="17" t="s">
        <v>364</v>
      </c>
      <c r="D666" s="17" t="s">
        <v>351</v>
      </c>
      <c r="E666" s="3" t="s">
        <v>7</v>
      </c>
      <c r="F666" s="3" t="s">
        <v>8</v>
      </c>
      <c r="G666" s="7">
        <f>34729313.63/1000</f>
        <v>34729.313630000004</v>
      </c>
    </row>
    <row r="667" spans="1:7" ht="63.75" x14ac:dyDescent="0.25">
      <c r="A667" s="4" t="s">
        <v>310</v>
      </c>
      <c r="B667" s="3" t="s">
        <v>309</v>
      </c>
      <c r="C667" s="17" t="s">
        <v>364</v>
      </c>
      <c r="D667" s="17" t="s">
        <v>351</v>
      </c>
      <c r="E667" s="3" t="s">
        <v>311</v>
      </c>
      <c r="F667" s="3" t="s">
        <v>8</v>
      </c>
      <c r="G667" s="7">
        <f>34009505.63/1000</f>
        <v>34009.50563</v>
      </c>
    </row>
    <row r="668" spans="1:7" ht="38.25" x14ac:dyDescent="0.25">
      <c r="A668" s="4" t="s">
        <v>217</v>
      </c>
      <c r="B668" s="3" t="s">
        <v>309</v>
      </c>
      <c r="C668" s="17" t="s">
        <v>364</v>
      </c>
      <c r="D668" s="17" t="s">
        <v>351</v>
      </c>
      <c r="E668" s="3" t="s">
        <v>318</v>
      </c>
      <c r="F668" s="3" t="s">
        <v>8</v>
      </c>
      <c r="G668" s="7">
        <f>19242218.86/1000</f>
        <v>19242.218860000001</v>
      </c>
    </row>
    <row r="669" spans="1:7" ht="89.25" x14ac:dyDescent="0.25">
      <c r="A669" s="4" t="s">
        <v>19</v>
      </c>
      <c r="B669" s="3" t="s">
        <v>309</v>
      </c>
      <c r="C669" s="17" t="s">
        <v>364</v>
      </c>
      <c r="D669" s="17" t="s">
        <v>351</v>
      </c>
      <c r="E669" s="3" t="s">
        <v>318</v>
      </c>
      <c r="F669" s="3" t="s">
        <v>20</v>
      </c>
      <c r="G669" s="7">
        <f>15782618.86/1000</f>
        <v>15782.618859999999</v>
      </c>
    </row>
    <row r="670" spans="1:7" ht="38.25" x14ac:dyDescent="0.25">
      <c r="A670" s="4" t="s">
        <v>31</v>
      </c>
      <c r="B670" s="3" t="s">
        <v>309</v>
      </c>
      <c r="C670" s="17" t="s">
        <v>364</v>
      </c>
      <c r="D670" s="17" t="s">
        <v>351</v>
      </c>
      <c r="E670" s="3" t="s">
        <v>318</v>
      </c>
      <c r="F670" s="3" t="s">
        <v>32</v>
      </c>
      <c r="G670" s="7">
        <f>3416452.15/1000</f>
        <v>3416.4521500000001</v>
      </c>
    </row>
    <row r="671" spans="1:7" ht="25.5" x14ac:dyDescent="0.25">
      <c r="A671" s="4" t="s">
        <v>35</v>
      </c>
      <c r="B671" s="3" t="s">
        <v>309</v>
      </c>
      <c r="C671" s="17" t="s">
        <v>364</v>
      </c>
      <c r="D671" s="17" t="s">
        <v>351</v>
      </c>
      <c r="E671" s="3" t="s">
        <v>318</v>
      </c>
      <c r="F671" s="3" t="s">
        <v>36</v>
      </c>
      <c r="G671" s="7">
        <f>43147.85/1000</f>
        <v>43.147849999999998</v>
      </c>
    </row>
    <row r="672" spans="1:7" ht="25.5" x14ac:dyDescent="0.25">
      <c r="A672" s="4" t="s">
        <v>45</v>
      </c>
      <c r="B672" s="3" t="s">
        <v>309</v>
      </c>
      <c r="C672" s="17" t="s">
        <v>364</v>
      </c>
      <c r="D672" s="17" t="s">
        <v>351</v>
      </c>
      <c r="E672" s="3" t="s">
        <v>319</v>
      </c>
      <c r="F672" s="3" t="s">
        <v>8</v>
      </c>
      <c r="G672" s="7">
        <f>498803.79/1000</f>
        <v>498.80378999999999</v>
      </c>
    </row>
    <row r="673" spans="1:7" ht="89.25" x14ac:dyDescent="0.25">
      <c r="A673" s="4" t="s">
        <v>19</v>
      </c>
      <c r="B673" s="3" t="s">
        <v>309</v>
      </c>
      <c r="C673" s="17" t="s">
        <v>364</v>
      </c>
      <c r="D673" s="17" t="s">
        <v>351</v>
      </c>
      <c r="E673" s="3" t="s">
        <v>319</v>
      </c>
      <c r="F673" s="3" t="s">
        <v>20</v>
      </c>
      <c r="G673" s="7">
        <f>132000.01/1000</f>
        <v>132.00001</v>
      </c>
    </row>
    <row r="674" spans="1:7" ht="38.25" x14ac:dyDescent="0.25">
      <c r="A674" s="4" t="s">
        <v>31</v>
      </c>
      <c r="B674" s="3" t="s">
        <v>309</v>
      </c>
      <c r="C674" s="17" t="s">
        <v>364</v>
      </c>
      <c r="D674" s="17" t="s">
        <v>351</v>
      </c>
      <c r="E674" s="3" t="s">
        <v>319</v>
      </c>
      <c r="F674" s="3" t="s">
        <v>32</v>
      </c>
      <c r="G674" s="7">
        <f>366803.78/1000</f>
        <v>366.80378000000002</v>
      </c>
    </row>
    <row r="675" spans="1:7" ht="63.75" x14ac:dyDescent="0.25">
      <c r="A675" s="4" t="s">
        <v>320</v>
      </c>
      <c r="B675" s="3" t="s">
        <v>309</v>
      </c>
      <c r="C675" s="17" t="s">
        <v>364</v>
      </c>
      <c r="D675" s="17" t="s">
        <v>351</v>
      </c>
      <c r="E675" s="3" t="s">
        <v>321</v>
      </c>
      <c r="F675" s="3" t="s">
        <v>8</v>
      </c>
      <c r="G675" s="7">
        <f>800801/1000</f>
        <v>800.80100000000004</v>
      </c>
    </row>
    <row r="676" spans="1:7" ht="38.25" x14ac:dyDescent="0.25">
      <c r="A676" s="4" t="s">
        <v>31</v>
      </c>
      <c r="B676" s="3" t="s">
        <v>309</v>
      </c>
      <c r="C676" s="17" t="s">
        <v>364</v>
      </c>
      <c r="D676" s="17" t="s">
        <v>351</v>
      </c>
      <c r="E676" s="3" t="s">
        <v>321</v>
      </c>
      <c r="F676" s="3" t="s">
        <v>32</v>
      </c>
      <c r="G676" s="7">
        <f>800801/1000</f>
        <v>800.80100000000004</v>
      </c>
    </row>
    <row r="677" spans="1:7" ht="38.25" x14ac:dyDescent="0.25">
      <c r="A677" s="4" t="s">
        <v>217</v>
      </c>
      <c r="B677" s="3" t="s">
        <v>309</v>
      </c>
      <c r="C677" s="17" t="s">
        <v>364</v>
      </c>
      <c r="D677" s="17" t="s">
        <v>351</v>
      </c>
      <c r="E677" s="3" t="s">
        <v>322</v>
      </c>
      <c r="F677" s="3" t="s">
        <v>8</v>
      </c>
      <c r="G677" s="7">
        <f>13434095.89/1000</f>
        <v>13434.095890000001</v>
      </c>
    </row>
    <row r="678" spans="1:7" ht="89.25" x14ac:dyDescent="0.25">
      <c r="A678" s="4" t="s">
        <v>19</v>
      </c>
      <c r="B678" s="3" t="s">
        <v>309</v>
      </c>
      <c r="C678" s="17" t="s">
        <v>364</v>
      </c>
      <c r="D678" s="17" t="s">
        <v>351</v>
      </c>
      <c r="E678" s="3" t="s">
        <v>322</v>
      </c>
      <c r="F678" s="3" t="s">
        <v>20</v>
      </c>
      <c r="G678" s="7">
        <f>12126185.89/1000</f>
        <v>12126.185890000001</v>
      </c>
    </row>
    <row r="679" spans="1:7" ht="38.25" x14ac:dyDescent="0.25">
      <c r="A679" s="4" t="s">
        <v>31</v>
      </c>
      <c r="B679" s="3" t="s">
        <v>309</v>
      </c>
      <c r="C679" s="17" t="s">
        <v>364</v>
      </c>
      <c r="D679" s="17" t="s">
        <v>351</v>
      </c>
      <c r="E679" s="3" t="s">
        <v>322</v>
      </c>
      <c r="F679" s="3" t="s">
        <v>32</v>
      </c>
      <c r="G679" s="7">
        <f>1307910/1000</f>
        <v>1307.9100000000001</v>
      </c>
    </row>
    <row r="680" spans="1:7" ht="25.5" x14ac:dyDescent="0.25">
      <c r="A680" s="4" t="s">
        <v>45</v>
      </c>
      <c r="B680" s="3" t="s">
        <v>309</v>
      </c>
      <c r="C680" s="17" t="s">
        <v>364</v>
      </c>
      <c r="D680" s="17" t="s">
        <v>351</v>
      </c>
      <c r="E680" s="3" t="s">
        <v>323</v>
      </c>
      <c r="F680" s="3" t="s">
        <v>8</v>
      </c>
      <c r="G680" s="7">
        <f>33586.09/1000</f>
        <v>33.586089999999999</v>
      </c>
    </row>
    <row r="681" spans="1:7" ht="38.25" x14ac:dyDescent="0.25">
      <c r="A681" s="4" t="s">
        <v>31</v>
      </c>
      <c r="B681" s="3" t="s">
        <v>309</v>
      </c>
      <c r="C681" s="17" t="s">
        <v>364</v>
      </c>
      <c r="D681" s="17" t="s">
        <v>351</v>
      </c>
      <c r="E681" s="3" t="s">
        <v>323</v>
      </c>
      <c r="F681" s="3" t="s">
        <v>32</v>
      </c>
      <c r="G681" s="7">
        <f>33586.09/1000</f>
        <v>33.586089999999999</v>
      </c>
    </row>
    <row r="682" spans="1:7" ht="63.75" x14ac:dyDescent="0.25">
      <c r="A682" s="4" t="s">
        <v>13</v>
      </c>
      <c r="B682" s="3" t="s">
        <v>309</v>
      </c>
      <c r="C682" s="17" t="s">
        <v>364</v>
      </c>
      <c r="D682" s="17" t="s">
        <v>351</v>
      </c>
      <c r="E682" s="3" t="s">
        <v>14</v>
      </c>
      <c r="F682" s="3" t="s">
        <v>8</v>
      </c>
      <c r="G682" s="7">
        <f>719808/1000</f>
        <v>719.80799999999999</v>
      </c>
    </row>
    <row r="683" spans="1:7" ht="25.5" x14ac:dyDescent="0.25">
      <c r="A683" s="4" t="s">
        <v>21</v>
      </c>
      <c r="B683" s="3" t="s">
        <v>309</v>
      </c>
      <c r="C683" s="17" t="s">
        <v>364</v>
      </c>
      <c r="D683" s="17" t="s">
        <v>351</v>
      </c>
      <c r="E683" s="3" t="s">
        <v>22</v>
      </c>
      <c r="F683" s="3" t="s">
        <v>8</v>
      </c>
      <c r="G683" s="7">
        <f>719808/1000</f>
        <v>719.80799999999999</v>
      </c>
    </row>
    <row r="684" spans="1:7" ht="51" x14ac:dyDescent="0.25">
      <c r="A684" s="4" t="s">
        <v>205</v>
      </c>
      <c r="B684" s="3" t="s">
        <v>309</v>
      </c>
      <c r="C684" s="17" t="s">
        <v>364</v>
      </c>
      <c r="D684" s="17" t="s">
        <v>351</v>
      </c>
      <c r="E684" s="3" t="s">
        <v>317</v>
      </c>
      <c r="F684" s="3" t="s">
        <v>8</v>
      </c>
      <c r="G684" s="7">
        <f>659808/1000</f>
        <v>659.80799999999999</v>
      </c>
    </row>
    <row r="685" spans="1:7" ht="89.25" x14ac:dyDescent="0.25">
      <c r="A685" s="4" t="s">
        <v>19</v>
      </c>
      <c r="B685" s="3" t="s">
        <v>309</v>
      </c>
      <c r="C685" s="17" t="s">
        <v>364</v>
      </c>
      <c r="D685" s="17" t="s">
        <v>351</v>
      </c>
      <c r="E685" s="3" t="s">
        <v>317</v>
      </c>
      <c r="F685" s="3" t="s">
        <v>20</v>
      </c>
      <c r="G685" s="7">
        <f>478152/1000</f>
        <v>478.15199999999999</v>
      </c>
    </row>
    <row r="686" spans="1:7" ht="25.5" x14ac:dyDescent="0.25">
      <c r="A686" s="4" t="s">
        <v>102</v>
      </c>
      <c r="B686" s="3" t="s">
        <v>309</v>
      </c>
      <c r="C686" s="17" t="s">
        <v>364</v>
      </c>
      <c r="D686" s="17" t="s">
        <v>351</v>
      </c>
      <c r="E686" s="3" t="s">
        <v>317</v>
      </c>
      <c r="F686" s="3" t="s">
        <v>103</v>
      </c>
      <c r="G686" s="7">
        <f>181656/1000</f>
        <v>181.65600000000001</v>
      </c>
    </row>
    <row r="687" spans="1:7" ht="38.25" x14ac:dyDescent="0.25">
      <c r="A687" s="4" t="s">
        <v>324</v>
      </c>
      <c r="B687" s="3" t="s">
        <v>309</v>
      </c>
      <c r="C687" s="17" t="s">
        <v>364</v>
      </c>
      <c r="D687" s="17" t="s">
        <v>351</v>
      </c>
      <c r="E687" s="3" t="s">
        <v>325</v>
      </c>
      <c r="F687" s="3" t="s">
        <v>8</v>
      </c>
      <c r="G687" s="7">
        <f>60000/1000</f>
        <v>60</v>
      </c>
    </row>
    <row r="688" spans="1:7" ht="38.25" x14ac:dyDescent="0.25">
      <c r="A688" s="4" t="s">
        <v>31</v>
      </c>
      <c r="B688" s="3" t="s">
        <v>309</v>
      </c>
      <c r="C688" s="17" t="s">
        <v>364</v>
      </c>
      <c r="D688" s="17" t="s">
        <v>351</v>
      </c>
      <c r="E688" s="3" t="s">
        <v>325</v>
      </c>
      <c r="F688" s="3" t="s">
        <v>32</v>
      </c>
      <c r="G688" s="7">
        <f>60000/1000</f>
        <v>60</v>
      </c>
    </row>
    <row r="689" spans="1:7" ht="25.5" x14ac:dyDescent="0.25">
      <c r="A689" s="4" t="s">
        <v>326</v>
      </c>
      <c r="B689" s="3" t="s">
        <v>309</v>
      </c>
      <c r="C689" s="17" t="s">
        <v>364</v>
      </c>
      <c r="D689" s="17" t="s">
        <v>354</v>
      </c>
      <c r="E689" s="3" t="s">
        <v>7</v>
      </c>
      <c r="F689" s="3" t="s">
        <v>8</v>
      </c>
      <c r="G689" s="7">
        <f>11308059.36/1000</f>
        <v>11308.059359999999</v>
      </c>
    </row>
    <row r="690" spans="1:7" x14ac:dyDescent="0.25">
      <c r="A690" s="4" t="s">
        <v>106</v>
      </c>
      <c r="B690" s="3" t="s">
        <v>309</v>
      </c>
      <c r="C690" s="17" t="s">
        <v>364</v>
      </c>
      <c r="D690" s="17" t="s">
        <v>354</v>
      </c>
      <c r="E690" s="3" t="s">
        <v>7</v>
      </c>
      <c r="F690" s="3" t="s">
        <v>8</v>
      </c>
      <c r="G690" s="7">
        <f>11237059.35/1000</f>
        <v>11237.05935</v>
      </c>
    </row>
    <row r="691" spans="1:7" ht="63.75" x14ac:dyDescent="0.25">
      <c r="A691" s="4" t="s">
        <v>310</v>
      </c>
      <c r="B691" s="3" t="s">
        <v>309</v>
      </c>
      <c r="C691" s="17" t="s">
        <v>364</v>
      </c>
      <c r="D691" s="17" t="s">
        <v>354</v>
      </c>
      <c r="E691" s="3" t="s">
        <v>311</v>
      </c>
      <c r="F691" s="3" t="s">
        <v>8</v>
      </c>
      <c r="G691" s="7">
        <f>11237059.35/1000</f>
        <v>11237.05935</v>
      </c>
    </row>
    <row r="692" spans="1:7" ht="38.25" x14ac:dyDescent="0.25">
      <c r="A692" s="4" t="s">
        <v>270</v>
      </c>
      <c r="B692" s="3" t="s">
        <v>309</v>
      </c>
      <c r="C692" s="17" t="s">
        <v>364</v>
      </c>
      <c r="D692" s="17" t="s">
        <v>354</v>
      </c>
      <c r="E692" s="3" t="s">
        <v>327</v>
      </c>
      <c r="F692" s="3" t="s">
        <v>8</v>
      </c>
      <c r="G692" s="7">
        <f>7660320.08/1000</f>
        <v>7660.3200800000004</v>
      </c>
    </row>
    <row r="693" spans="1:7" ht="89.25" x14ac:dyDescent="0.25">
      <c r="A693" s="4" t="s">
        <v>19</v>
      </c>
      <c r="B693" s="3" t="s">
        <v>309</v>
      </c>
      <c r="C693" s="17" t="s">
        <v>364</v>
      </c>
      <c r="D693" s="17" t="s">
        <v>354</v>
      </c>
      <c r="E693" s="3" t="s">
        <v>327</v>
      </c>
      <c r="F693" s="3" t="s">
        <v>20</v>
      </c>
      <c r="G693" s="7">
        <f>7363920.08/1000</f>
        <v>7363.9200799999999</v>
      </c>
    </row>
    <row r="694" spans="1:7" ht="38.25" x14ac:dyDescent="0.25">
      <c r="A694" s="4" t="s">
        <v>31</v>
      </c>
      <c r="B694" s="3" t="s">
        <v>309</v>
      </c>
      <c r="C694" s="17" t="s">
        <v>364</v>
      </c>
      <c r="D694" s="17" t="s">
        <v>354</v>
      </c>
      <c r="E694" s="3" t="s">
        <v>327</v>
      </c>
      <c r="F694" s="3" t="s">
        <v>32</v>
      </c>
      <c r="G694" s="7">
        <f>296400/1000</f>
        <v>296.39999999999998</v>
      </c>
    </row>
    <row r="695" spans="1:7" ht="25.5" x14ac:dyDescent="0.25">
      <c r="A695" s="4" t="s">
        <v>272</v>
      </c>
      <c r="B695" s="3" t="s">
        <v>309</v>
      </c>
      <c r="C695" s="17" t="s">
        <v>364</v>
      </c>
      <c r="D695" s="17" t="s">
        <v>354</v>
      </c>
      <c r="E695" s="3" t="s">
        <v>328</v>
      </c>
      <c r="F695" s="3" t="s">
        <v>8</v>
      </c>
      <c r="G695" s="7">
        <f>3576739.27/1000</f>
        <v>3576.73927</v>
      </c>
    </row>
    <row r="696" spans="1:7" ht="89.25" x14ac:dyDescent="0.25">
      <c r="A696" s="4" t="s">
        <v>19</v>
      </c>
      <c r="B696" s="3" t="s">
        <v>309</v>
      </c>
      <c r="C696" s="17" t="s">
        <v>364</v>
      </c>
      <c r="D696" s="17" t="s">
        <v>354</v>
      </c>
      <c r="E696" s="3" t="s">
        <v>328</v>
      </c>
      <c r="F696" s="3" t="s">
        <v>20</v>
      </c>
      <c r="G696" s="7">
        <f>3524139.27/1000</f>
        <v>3524.1392700000001</v>
      </c>
    </row>
    <row r="697" spans="1:7" ht="38.25" x14ac:dyDescent="0.25">
      <c r="A697" s="4" t="s">
        <v>31</v>
      </c>
      <c r="B697" s="3" t="s">
        <v>309</v>
      </c>
      <c r="C697" s="17" t="s">
        <v>364</v>
      </c>
      <c r="D697" s="17" t="s">
        <v>354</v>
      </c>
      <c r="E697" s="3" t="s">
        <v>328</v>
      </c>
      <c r="F697" s="3" t="s">
        <v>32</v>
      </c>
      <c r="G697" s="7">
        <f>52600/1000</f>
        <v>52.6</v>
      </c>
    </row>
    <row r="698" spans="1:7" ht="63.75" x14ac:dyDescent="0.25">
      <c r="A698" s="4" t="s">
        <v>13</v>
      </c>
      <c r="B698" s="3" t="s">
        <v>309</v>
      </c>
      <c r="C698" s="17" t="s">
        <v>364</v>
      </c>
      <c r="D698" s="17" t="s">
        <v>354</v>
      </c>
      <c r="E698" s="3" t="s">
        <v>14</v>
      </c>
      <c r="F698" s="3" t="s">
        <v>8</v>
      </c>
      <c r="G698" s="7">
        <f>71000.01/1000</f>
        <v>71.000009999999989</v>
      </c>
    </row>
    <row r="699" spans="1:7" ht="25.5" x14ac:dyDescent="0.25">
      <c r="A699" s="4" t="s">
        <v>21</v>
      </c>
      <c r="B699" s="3" t="s">
        <v>309</v>
      </c>
      <c r="C699" s="17" t="s">
        <v>364</v>
      </c>
      <c r="D699" s="17" t="s">
        <v>354</v>
      </c>
      <c r="E699" s="3" t="s">
        <v>22</v>
      </c>
      <c r="F699" s="3" t="s">
        <v>8</v>
      </c>
      <c r="G699" s="7">
        <f>71000.01/1000</f>
        <v>71.000009999999989</v>
      </c>
    </row>
    <row r="700" spans="1:7" ht="25.5" x14ac:dyDescent="0.25">
      <c r="A700" s="4" t="s">
        <v>23</v>
      </c>
      <c r="B700" s="3" t="s">
        <v>309</v>
      </c>
      <c r="C700" s="17" t="s">
        <v>364</v>
      </c>
      <c r="D700" s="17" t="s">
        <v>354</v>
      </c>
      <c r="E700" s="3" t="s">
        <v>24</v>
      </c>
      <c r="F700" s="3" t="s">
        <v>8</v>
      </c>
      <c r="G700" s="7">
        <f>71000.01/1000</f>
        <v>71.000009999999989</v>
      </c>
    </row>
    <row r="701" spans="1:7" ht="25.5" x14ac:dyDescent="0.25">
      <c r="A701" s="4" t="s">
        <v>25</v>
      </c>
      <c r="B701" s="3" t="s">
        <v>309</v>
      </c>
      <c r="C701" s="17" t="s">
        <v>364</v>
      </c>
      <c r="D701" s="17" t="s">
        <v>354</v>
      </c>
      <c r="E701" s="3" t="s">
        <v>24</v>
      </c>
      <c r="F701" s="3" t="s">
        <v>8</v>
      </c>
      <c r="G701" s="7">
        <f>51000/1000</f>
        <v>51</v>
      </c>
    </row>
    <row r="702" spans="1:7" ht="89.25" x14ac:dyDescent="0.25">
      <c r="A702" s="4" t="s">
        <v>19</v>
      </c>
      <c r="B702" s="3" t="s">
        <v>309</v>
      </c>
      <c r="C702" s="17" t="s">
        <v>364</v>
      </c>
      <c r="D702" s="17" t="s">
        <v>354</v>
      </c>
      <c r="E702" s="3" t="s">
        <v>24</v>
      </c>
      <c r="F702" s="3" t="s">
        <v>20</v>
      </c>
      <c r="G702" s="7">
        <f>51000/1000</f>
        <v>51</v>
      </c>
    </row>
    <row r="703" spans="1:7" ht="63.75" x14ac:dyDescent="0.25">
      <c r="A703" s="4" t="s">
        <v>26</v>
      </c>
      <c r="B703" s="3" t="s">
        <v>309</v>
      </c>
      <c r="C703" s="17" t="s">
        <v>364</v>
      </c>
      <c r="D703" s="17" t="s">
        <v>354</v>
      </c>
      <c r="E703" s="3" t="s">
        <v>27</v>
      </c>
      <c r="F703" s="3" t="s">
        <v>8</v>
      </c>
      <c r="G703" s="7">
        <f>20000.01/1000</f>
        <v>20.00001</v>
      </c>
    </row>
    <row r="704" spans="1:7" ht="89.25" x14ac:dyDescent="0.25">
      <c r="A704" s="4" t="s">
        <v>19</v>
      </c>
      <c r="B704" s="3" t="s">
        <v>309</v>
      </c>
      <c r="C704" s="17" t="s">
        <v>364</v>
      </c>
      <c r="D704" s="17" t="s">
        <v>354</v>
      </c>
      <c r="E704" s="3" t="s">
        <v>27</v>
      </c>
      <c r="F704" s="3" t="s">
        <v>20</v>
      </c>
      <c r="G704" s="7">
        <f>20000.01/1000</f>
        <v>20.00001</v>
      </c>
    </row>
    <row r="705" spans="1:7" x14ac:dyDescent="0.25">
      <c r="A705" s="4" t="s">
        <v>301</v>
      </c>
      <c r="B705" s="3" t="s">
        <v>309</v>
      </c>
      <c r="C705" s="17" t="s">
        <v>365</v>
      </c>
      <c r="D705" s="17" t="s">
        <v>353</v>
      </c>
      <c r="E705" s="3" t="s">
        <v>7</v>
      </c>
      <c r="F705" s="3" t="s">
        <v>8</v>
      </c>
      <c r="G705" s="7">
        <f>395550/1000</f>
        <v>395.55</v>
      </c>
    </row>
    <row r="706" spans="1:7" x14ac:dyDescent="0.25">
      <c r="A706" s="4" t="s">
        <v>329</v>
      </c>
      <c r="B706" s="3" t="s">
        <v>309</v>
      </c>
      <c r="C706" s="17" t="s">
        <v>365</v>
      </c>
      <c r="D706" s="17" t="s">
        <v>352</v>
      </c>
      <c r="E706" s="3" t="s">
        <v>7</v>
      </c>
      <c r="F706" s="3" t="s">
        <v>8</v>
      </c>
      <c r="G706" s="7">
        <f>395550/1000</f>
        <v>395.55</v>
      </c>
    </row>
    <row r="707" spans="1:7" ht="114.75" x14ac:dyDescent="0.25">
      <c r="A707" s="4" t="s">
        <v>41</v>
      </c>
      <c r="B707" s="3" t="s">
        <v>309</v>
      </c>
      <c r="C707" s="17" t="s">
        <v>365</v>
      </c>
      <c r="D707" s="17" t="s">
        <v>352</v>
      </c>
      <c r="E707" s="3" t="s">
        <v>42</v>
      </c>
      <c r="F707" s="3" t="s">
        <v>8</v>
      </c>
      <c r="G707" s="7">
        <f>395550/1000</f>
        <v>395.55</v>
      </c>
    </row>
    <row r="708" spans="1:7" ht="63.75" x14ac:dyDescent="0.25">
      <c r="A708" s="4" t="s">
        <v>303</v>
      </c>
      <c r="B708" s="3" t="s">
        <v>309</v>
      </c>
      <c r="C708" s="17" t="s">
        <v>365</v>
      </c>
      <c r="D708" s="17" t="s">
        <v>352</v>
      </c>
      <c r="E708" s="3" t="s">
        <v>304</v>
      </c>
      <c r="F708" s="3" t="s">
        <v>8</v>
      </c>
      <c r="G708" s="7">
        <f>395550/1000</f>
        <v>395.55</v>
      </c>
    </row>
    <row r="709" spans="1:7" ht="25.5" x14ac:dyDescent="0.25">
      <c r="A709" s="4" t="s">
        <v>45</v>
      </c>
      <c r="B709" s="3" t="s">
        <v>309</v>
      </c>
      <c r="C709" s="17" t="s">
        <v>365</v>
      </c>
      <c r="D709" s="17" t="s">
        <v>352</v>
      </c>
      <c r="E709" s="3" t="s">
        <v>330</v>
      </c>
      <c r="F709" s="3" t="s">
        <v>8</v>
      </c>
      <c r="G709" s="7">
        <f>395550/1000</f>
        <v>395.55</v>
      </c>
    </row>
    <row r="710" spans="1:7" ht="89.25" x14ac:dyDescent="0.25">
      <c r="A710" s="4" t="s">
        <v>19</v>
      </c>
      <c r="B710" s="3" t="s">
        <v>309</v>
      </c>
      <c r="C710" s="17" t="s">
        <v>365</v>
      </c>
      <c r="D710" s="17" t="s">
        <v>352</v>
      </c>
      <c r="E710" s="3" t="s">
        <v>330</v>
      </c>
      <c r="F710" s="3" t="s">
        <v>20</v>
      </c>
      <c r="G710" s="7">
        <f>99150/1000</f>
        <v>99.15</v>
      </c>
    </row>
    <row r="711" spans="1:7" ht="38.25" x14ac:dyDescent="0.25">
      <c r="A711" s="4" t="s">
        <v>31</v>
      </c>
      <c r="B711" s="3" t="s">
        <v>309</v>
      </c>
      <c r="C711" s="17" t="s">
        <v>365</v>
      </c>
      <c r="D711" s="17" t="s">
        <v>352</v>
      </c>
      <c r="E711" s="3" t="s">
        <v>330</v>
      </c>
      <c r="F711" s="3" t="s">
        <v>32</v>
      </c>
      <c r="G711" s="7">
        <f>296400/1000</f>
        <v>296.39999999999998</v>
      </c>
    </row>
    <row r="712" spans="1:7" ht="38.25" x14ac:dyDescent="0.25">
      <c r="A712" s="11" t="s">
        <v>331</v>
      </c>
      <c r="B712" s="12" t="s">
        <v>332</v>
      </c>
      <c r="C712" s="18" t="s">
        <v>353</v>
      </c>
      <c r="D712" s="18" t="s">
        <v>353</v>
      </c>
      <c r="E712" s="12" t="s">
        <v>7</v>
      </c>
      <c r="F712" s="12" t="s">
        <v>8</v>
      </c>
      <c r="G712" s="14">
        <f>1343372.32/1000</f>
        <v>1343.3723200000002</v>
      </c>
    </row>
    <row r="713" spans="1:7" ht="25.5" x14ac:dyDescent="0.25">
      <c r="A713" s="4" t="s">
        <v>11</v>
      </c>
      <c r="B713" s="3" t="s">
        <v>332</v>
      </c>
      <c r="C713" s="17" t="s">
        <v>351</v>
      </c>
      <c r="D713" s="17" t="s">
        <v>353</v>
      </c>
      <c r="E713" s="3" t="s">
        <v>7</v>
      </c>
      <c r="F713" s="3" t="s">
        <v>8</v>
      </c>
      <c r="G713" s="7">
        <f>1343372.32/1000</f>
        <v>1343.3723200000002</v>
      </c>
    </row>
    <row r="714" spans="1:7" ht="63.75" x14ac:dyDescent="0.25">
      <c r="A714" s="4" t="s">
        <v>333</v>
      </c>
      <c r="B714" s="3" t="s">
        <v>332</v>
      </c>
      <c r="C714" s="17" t="s">
        <v>351</v>
      </c>
      <c r="D714" s="17" t="s">
        <v>357</v>
      </c>
      <c r="E714" s="3" t="s">
        <v>7</v>
      </c>
      <c r="F714" s="3" t="s">
        <v>8</v>
      </c>
      <c r="G714" s="7">
        <f>1343372.32/1000</f>
        <v>1343.3723200000002</v>
      </c>
    </row>
    <row r="715" spans="1:7" ht="63.75" x14ac:dyDescent="0.25">
      <c r="A715" s="4" t="s">
        <v>13</v>
      </c>
      <c r="B715" s="3" t="s">
        <v>332</v>
      </c>
      <c r="C715" s="17" t="s">
        <v>351</v>
      </c>
      <c r="D715" s="17" t="s">
        <v>357</v>
      </c>
      <c r="E715" s="3" t="s">
        <v>14</v>
      </c>
      <c r="F715" s="3" t="s">
        <v>8</v>
      </c>
      <c r="G715" s="7">
        <f>1343372.32/1000</f>
        <v>1343.3723200000002</v>
      </c>
    </row>
    <row r="716" spans="1:7" ht="38.25" x14ac:dyDescent="0.25">
      <c r="A716" s="4" t="s">
        <v>334</v>
      </c>
      <c r="B716" s="3" t="s">
        <v>332</v>
      </c>
      <c r="C716" s="17" t="s">
        <v>351</v>
      </c>
      <c r="D716" s="17" t="s">
        <v>357</v>
      </c>
      <c r="E716" s="3" t="s">
        <v>335</v>
      </c>
      <c r="F716" s="3" t="s">
        <v>8</v>
      </c>
      <c r="G716" s="7">
        <f>1329372.32/1000</f>
        <v>1329.3723200000002</v>
      </c>
    </row>
    <row r="717" spans="1:7" ht="38.25" x14ac:dyDescent="0.25">
      <c r="A717" s="4" t="s">
        <v>336</v>
      </c>
      <c r="B717" s="3" t="s">
        <v>332</v>
      </c>
      <c r="C717" s="17" t="s">
        <v>351</v>
      </c>
      <c r="D717" s="17" t="s">
        <v>357</v>
      </c>
      <c r="E717" s="3" t="s">
        <v>337</v>
      </c>
      <c r="F717" s="3" t="s">
        <v>8</v>
      </c>
      <c r="G717" s="7">
        <f>111296.72/1000</f>
        <v>111.29672000000001</v>
      </c>
    </row>
    <row r="718" spans="1:7" ht="89.25" x14ac:dyDescent="0.25">
      <c r="A718" s="4" t="s">
        <v>19</v>
      </c>
      <c r="B718" s="3" t="s">
        <v>332</v>
      </c>
      <c r="C718" s="17" t="s">
        <v>351</v>
      </c>
      <c r="D718" s="17" t="s">
        <v>357</v>
      </c>
      <c r="E718" s="3" t="s">
        <v>337</v>
      </c>
      <c r="F718" s="3" t="s">
        <v>20</v>
      </c>
      <c r="G718" s="7">
        <f>111296.72/1000</f>
        <v>111.29672000000001</v>
      </c>
    </row>
    <row r="719" spans="1:7" ht="38.25" x14ac:dyDescent="0.25">
      <c r="A719" s="4" t="s">
        <v>338</v>
      </c>
      <c r="B719" s="3" t="s">
        <v>332</v>
      </c>
      <c r="C719" s="17" t="s">
        <v>351</v>
      </c>
      <c r="D719" s="17" t="s">
        <v>357</v>
      </c>
      <c r="E719" s="3" t="s">
        <v>339</v>
      </c>
      <c r="F719" s="3" t="s">
        <v>8</v>
      </c>
      <c r="G719" s="7">
        <f>261324.1/1000</f>
        <v>261.32409999999999</v>
      </c>
    </row>
    <row r="720" spans="1:7" ht="89.25" x14ac:dyDescent="0.25">
      <c r="A720" s="4" t="s">
        <v>19</v>
      </c>
      <c r="B720" s="3" t="s">
        <v>332</v>
      </c>
      <c r="C720" s="17" t="s">
        <v>351</v>
      </c>
      <c r="D720" s="17" t="s">
        <v>357</v>
      </c>
      <c r="E720" s="3" t="s">
        <v>339</v>
      </c>
      <c r="F720" s="3" t="s">
        <v>20</v>
      </c>
      <c r="G720" s="7">
        <f>261324.1/1000</f>
        <v>261.32409999999999</v>
      </c>
    </row>
    <row r="721" spans="1:7" ht="38.25" x14ac:dyDescent="0.25">
      <c r="A721" s="4" t="s">
        <v>340</v>
      </c>
      <c r="B721" s="3" t="s">
        <v>332</v>
      </c>
      <c r="C721" s="17" t="s">
        <v>351</v>
      </c>
      <c r="D721" s="17" t="s">
        <v>357</v>
      </c>
      <c r="E721" s="3" t="s">
        <v>341</v>
      </c>
      <c r="F721" s="3" t="s">
        <v>8</v>
      </c>
      <c r="G721" s="7">
        <f>956751.5/1000</f>
        <v>956.75149999999996</v>
      </c>
    </row>
    <row r="722" spans="1:7" ht="89.25" x14ac:dyDescent="0.25">
      <c r="A722" s="4" t="s">
        <v>19</v>
      </c>
      <c r="B722" s="3" t="s">
        <v>332</v>
      </c>
      <c r="C722" s="17" t="s">
        <v>351</v>
      </c>
      <c r="D722" s="17" t="s">
        <v>357</v>
      </c>
      <c r="E722" s="3" t="s">
        <v>341</v>
      </c>
      <c r="F722" s="3" t="s">
        <v>20</v>
      </c>
      <c r="G722" s="7">
        <f>726151.5/1000</f>
        <v>726.15150000000006</v>
      </c>
    </row>
    <row r="723" spans="1:7" ht="38.25" x14ac:dyDescent="0.25">
      <c r="A723" s="4" t="s">
        <v>31</v>
      </c>
      <c r="B723" s="3" t="s">
        <v>332</v>
      </c>
      <c r="C723" s="17" t="s">
        <v>351</v>
      </c>
      <c r="D723" s="17" t="s">
        <v>357</v>
      </c>
      <c r="E723" s="3" t="s">
        <v>341</v>
      </c>
      <c r="F723" s="3" t="s">
        <v>32</v>
      </c>
      <c r="G723" s="7">
        <f>230600/1000</f>
        <v>230.6</v>
      </c>
    </row>
    <row r="724" spans="1:7" ht="25.5" x14ac:dyDescent="0.25">
      <c r="A724" s="4" t="s">
        <v>21</v>
      </c>
      <c r="B724" s="3" t="s">
        <v>332</v>
      </c>
      <c r="C724" s="17" t="s">
        <v>351</v>
      </c>
      <c r="D724" s="17" t="s">
        <v>357</v>
      </c>
      <c r="E724" s="3" t="s">
        <v>22</v>
      </c>
      <c r="F724" s="3" t="s">
        <v>8</v>
      </c>
      <c r="G724" s="7">
        <f>14000/1000</f>
        <v>14</v>
      </c>
    </row>
    <row r="725" spans="1:7" ht="25.5" x14ac:dyDescent="0.25">
      <c r="A725" s="4" t="s">
        <v>23</v>
      </c>
      <c r="B725" s="3" t="s">
        <v>332</v>
      </c>
      <c r="C725" s="17" t="s">
        <v>351</v>
      </c>
      <c r="D725" s="17" t="s">
        <v>357</v>
      </c>
      <c r="E725" s="3" t="s">
        <v>24</v>
      </c>
      <c r="F725" s="3" t="s">
        <v>8</v>
      </c>
      <c r="G725" s="7">
        <f>14000/1000</f>
        <v>14</v>
      </c>
    </row>
    <row r="726" spans="1:7" ht="25.5" x14ac:dyDescent="0.25">
      <c r="A726" s="4" t="s">
        <v>25</v>
      </c>
      <c r="B726" s="3" t="s">
        <v>332</v>
      </c>
      <c r="C726" s="17" t="s">
        <v>351</v>
      </c>
      <c r="D726" s="17" t="s">
        <v>357</v>
      </c>
      <c r="E726" s="3" t="s">
        <v>24</v>
      </c>
      <c r="F726" s="3" t="s">
        <v>8</v>
      </c>
      <c r="G726" s="7">
        <f>9000/1000</f>
        <v>9</v>
      </c>
    </row>
    <row r="727" spans="1:7" ht="89.25" x14ac:dyDescent="0.25">
      <c r="A727" s="4" t="s">
        <v>19</v>
      </c>
      <c r="B727" s="3" t="s">
        <v>332</v>
      </c>
      <c r="C727" s="17" t="s">
        <v>351</v>
      </c>
      <c r="D727" s="17" t="s">
        <v>357</v>
      </c>
      <c r="E727" s="3" t="s">
        <v>24</v>
      </c>
      <c r="F727" s="3" t="s">
        <v>20</v>
      </c>
      <c r="G727" s="7">
        <f>9000/1000</f>
        <v>9</v>
      </c>
    </row>
    <row r="728" spans="1:7" ht="63.75" x14ac:dyDescent="0.25">
      <c r="A728" s="4" t="s">
        <v>26</v>
      </c>
      <c r="B728" s="3" t="s">
        <v>332</v>
      </c>
      <c r="C728" s="17" t="s">
        <v>351</v>
      </c>
      <c r="D728" s="17" t="s">
        <v>357</v>
      </c>
      <c r="E728" s="3" t="s">
        <v>27</v>
      </c>
      <c r="F728" s="3" t="s">
        <v>8</v>
      </c>
      <c r="G728" s="7">
        <f>5000/1000</f>
        <v>5</v>
      </c>
    </row>
    <row r="729" spans="1:7" ht="89.25" x14ac:dyDescent="0.25">
      <c r="A729" s="4" t="s">
        <v>19</v>
      </c>
      <c r="B729" s="3" t="s">
        <v>332</v>
      </c>
      <c r="C729" s="17" t="s">
        <v>351</v>
      </c>
      <c r="D729" s="17" t="s">
        <v>357</v>
      </c>
      <c r="E729" s="3" t="s">
        <v>27</v>
      </c>
      <c r="F729" s="3" t="s">
        <v>20</v>
      </c>
      <c r="G729" s="7">
        <f>5000/1000</f>
        <v>5</v>
      </c>
    </row>
    <row r="730" spans="1:7" ht="51" x14ac:dyDescent="0.25">
      <c r="A730" s="11" t="s">
        <v>342</v>
      </c>
      <c r="B730" s="12" t="s">
        <v>343</v>
      </c>
      <c r="C730" s="18" t="s">
        <v>353</v>
      </c>
      <c r="D730" s="18" t="s">
        <v>353</v>
      </c>
      <c r="E730" s="12" t="s">
        <v>7</v>
      </c>
      <c r="F730" s="12" t="s">
        <v>8</v>
      </c>
      <c r="G730" s="14">
        <f>(26548982.94+15000)/1000</f>
        <v>26563.982940000002</v>
      </c>
    </row>
    <row r="731" spans="1:7" ht="25.5" x14ac:dyDescent="0.25">
      <c r="A731" s="4" t="s">
        <v>11</v>
      </c>
      <c r="B731" s="3" t="s">
        <v>343</v>
      </c>
      <c r="C731" s="17" t="s">
        <v>351</v>
      </c>
      <c r="D731" s="17" t="s">
        <v>353</v>
      </c>
      <c r="E731" s="3" t="s">
        <v>7</v>
      </c>
      <c r="F731" s="3" t="s">
        <v>8</v>
      </c>
      <c r="G731" s="7">
        <f>(26548982.94+15000)/1000</f>
        <v>26563.982940000002</v>
      </c>
    </row>
    <row r="732" spans="1:7" ht="51" x14ac:dyDescent="0.25">
      <c r="A732" s="4" t="s">
        <v>344</v>
      </c>
      <c r="B732" s="3" t="s">
        <v>343</v>
      </c>
      <c r="C732" s="17" t="s">
        <v>351</v>
      </c>
      <c r="D732" s="17" t="s">
        <v>363</v>
      </c>
      <c r="E732" s="3" t="s">
        <v>7</v>
      </c>
      <c r="F732" s="3" t="s">
        <v>8</v>
      </c>
      <c r="G732" s="7">
        <f>(11307635.5+15000)/1000</f>
        <v>11322.6355</v>
      </c>
    </row>
    <row r="733" spans="1:7" ht="63.75" x14ac:dyDescent="0.25">
      <c r="A733" s="4" t="s">
        <v>47</v>
      </c>
      <c r="B733" s="3" t="s">
        <v>343</v>
      </c>
      <c r="C733" s="17" t="s">
        <v>351</v>
      </c>
      <c r="D733" s="17" t="s">
        <v>363</v>
      </c>
      <c r="E733" s="3" t="s">
        <v>48</v>
      </c>
      <c r="F733" s="3" t="s">
        <v>8</v>
      </c>
      <c r="G733" s="7">
        <f>10940135.46/1000</f>
        <v>10940.135460000001</v>
      </c>
    </row>
    <row r="734" spans="1:7" ht="76.5" x14ac:dyDescent="0.25">
      <c r="A734" s="4" t="s">
        <v>56</v>
      </c>
      <c r="B734" s="3" t="s">
        <v>343</v>
      </c>
      <c r="C734" s="17" t="s">
        <v>351</v>
      </c>
      <c r="D734" s="17" t="s">
        <v>363</v>
      </c>
      <c r="E734" s="3" t="s">
        <v>57</v>
      </c>
      <c r="F734" s="3" t="s">
        <v>8</v>
      </c>
      <c r="G734" s="7">
        <f>10940135.46/1000</f>
        <v>10940.135460000001</v>
      </c>
    </row>
    <row r="735" spans="1:7" ht="51" x14ac:dyDescent="0.25">
      <c r="A735" s="4" t="s">
        <v>58</v>
      </c>
      <c r="B735" s="3" t="s">
        <v>343</v>
      </c>
      <c r="C735" s="17" t="s">
        <v>351</v>
      </c>
      <c r="D735" s="17" t="s">
        <v>363</v>
      </c>
      <c r="E735" s="3" t="s">
        <v>59</v>
      </c>
      <c r="F735" s="3" t="s">
        <v>8</v>
      </c>
      <c r="G735" s="7">
        <f>10940135.46/1000</f>
        <v>10940.135460000001</v>
      </c>
    </row>
    <row r="736" spans="1:7" ht="25.5" x14ac:dyDescent="0.25">
      <c r="A736" s="4" t="s">
        <v>272</v>
      </c>
      <c r="B736" s="3" t="s">
        <v>343</v>
      </c>
      <c r="C736" s="17" t="s">
        <v>351</v>
      </c>
      <c r="D736" s="17" t="s">
        <v>363</v>
      </c>
      <c r="E736" s="3" t="s">
        <v>345</v>
      </c>
      <c r="F736" s="3" t="s">
        <v>8</v>
      </c>
      <c r="G736" s="7">
        <f>10940135.46/1000</f>
        <v>10940.135460000001</v>
      </c>
    </row>
    <row r="737" spans="1:7" ht="89.25" x14ac:dyDescent="0.25">
      <c r="A737" s="4" t="s">
        <v>19</v>
      </c>
      <c r="B737" s="3" t="s">
        <v>343</v>
      </c>
      <c r="C737" s="17" t="s">
        <v>351</v>
      </c>
      <c r="D737" s="17" t="s">
        <v>363</v>
      </c>
      <c r="E737" s="3" t="s">
        <v>345</v>
      </c>
      <c r="F737" s="3" t="s">
        <v>20</v>
      </c>
      <c r="G737" s="7">
        <f>10510135.46/1000</f>
        <v>10510.135460000001</v>
      </c>
    </row>
    <row r="738" spans="1:7" ht="38.25" x14ac:dyDescent="0.25">
      <c r="A738" s="4" t="s">
        <v>31</v>
      </c>
      <c r="B738" s="3" t="s">
        <v>343</v>
      </c>
      <c r="C738" s="17" t="s">
        <v>351</v>
      </c>
      <c r="D738" s="17" t="s">
        <v>363</v>
      </c>
      <c r="E738" s="3" t="s">
        <v>345</v>
      </c>
      <c r="F738" s="3" t="s">
        <v>32</v>
      </c>
      <c r="G738" s="7">
        <f>430000/1000</f>
        <v>430</v>
      </c>
    </row>
    <row r="739" spans="1:7" ht="63.75" x14ac:dyDescent="0.25">
      <c r="A739" s="4" t="s">
        <v>13</v>
      </c>
      <c r="B739" s="3" t="s">
        <v>343</v>
      </c>
      <c r="C739" s="17" t="s">
        <v>351</v>
      </c>
      <c r="D739" s="17" t="s">
        <v>363</v>
      </c>
      <c r="E739" s="3" t="s">
        <v>14</v>
      </c>
      <c r="F739" s="3" t="s">
        <v>8</v>
      </c>
      <c r="G739" s="7">
        <f>(367500.04+15000)/1000</f>
        <v>382.50003999999996</v>
      </c>
    </row>
    <row r="740" spans="1:7" ht="25.5" x14ac:dyDescent="0.25">
      <c r="A740" s="4" t="s">
        <v>21</v>
      </c>
      <c r="B740" s="3" t="s">
        <v>343</v>
      </c>
      <c r="C740" s="17" t="s">
        <v>351</v>
      </c>
      <c r="D740" s="17" t="s">
        <v>363</v>
      </c>
      <c r="E740" s="3" t="s">
        <v>22</v>
      </c>
      <c r="F740" s="3" t="s">
        <v>8</v>
      </c>
      <c r="G740" s="7">
        <v>382.5</v>
      </c>
    </row>
    <row r="741" spans="1:7" ht="25.5" x14ac:dyDescent="0.25">
      <c r="A741" s="4" t="s">
        <v>25</v>
      </c>
      <c r="B741" s="3" t="s">
        <v>343</v>
      </c>
      <c r="C741" s="17" t="s">
        <v>351</v>
      </c>
      <c r="D741" s="17" t="s">
        <v>363</v>
      </c>
      <c r="E741" s="3" t="s">
        <v>24</v>
      </c>
      <c r="F741" s="3" t="s">
        <v>8</v>
      </c>
      <c r="G741" s="7">
        <f>200500.01/1000</f>
        <v>200.50001</v>
      </c>
    </row>
    <row r="742" spans="1:7" ht="89.25" x14ac:dyDescent="0.25">
      <c r="A742" s="4" t="s">
        <v>19</v>
      </c>
      <c r="B742" s="3" t="s">
        <v>343</v>
      </c>
      <c r="C742" s="17" t="s">
        <v>351</v>
      </c>
      <c r="D742" s="17" t="s">
        <v>363</v>
      </c>
      <c r="E742" s="3" t="s">
        <v>24</v>
      </c>
      <c r="F742" s="3" t="s">
        <v>20</v>
      </c>
      <c r="G742" s="7">
        <f>200500.01/1000</f>
        <v>200.50001</v>
      </c>
    </row>
    <row r="743" spans="1:7" ht="63.75" x14ac:dyDescent="0.25">
      <c r="A743" s="4" t="s">
        <v>26</v>
      </c>
      <c r="B743" s="3" t="s">
        <v>343</v>
      </c>
      <c r="C743" s="17" t="s">
        <v>351</v>
      </c>
      <c r="D743" s="17" t="s">
        <v>363</v>
      </c>
      <c r="E743" s="3" t="s">
        <v>27</v>
      </c>
      <c r="F743" s="3" t="s">
        <v>8</v>
      </c>
      <c r="G743" s="7">
        <f>G744</f>
        <v>182.00003000000001</v>
      </c>
    </row>
    <row r="744" spans="1:7" ht="89.25" x14ac:dyDescent="0.25">
      <c r="A744" s="4" t="s">
        <v>19</v>
      </c>
      <c r="B744" s="3" t="s">
        <v>343</v>
      </c>
      <c r="C744" s="17" t="s">
        <v>351</v>
      </c>
      <c r="D744" s="17" t="s">
        <v>363</v>
      </c>
      <c r="E744" s="3" t="s">
        <v>27</v>
      </c>
      <c r="F744" s="3" t="s">
        <v>20</v>
      </c>
      <c r="G744" s="7">
        <f>(167000.03+15000)/1000</f>
        <v>182.00003000000001</v>
      </c>
    </row>
    <row r="745" spans="1:7" ht="25.5" x14ac:dyDescent="0.25">
      <c r="A745" s="4" t="s">
        <v>40</v>
      </c>
      <c r="B745" s="3" t="s">
        <v>343</v>
      </c>
      <c r="C745" s="17" t="s">
        <v>351</v>
      </c>
      <c r="D745" s="17" t="s">
        <v>356</v>
      </c>
      <c r="E745" s="3" t="s">
        <v>7</v>
      </c>
      <c r="F745" s="3" t="s">
        <v>8</v>
      </c>
      <c r="G745" s="7">
        <f>15241347.44/1000</f>
        <v>15241.34744</v>
      </c>
    </row>
    <row r="746" spans="1:7" ht="63.75" x14ac:dyDescent="0.25">
      <c r="A746" s="4" t="s">
        <v>47</v>
      </c>
      <c r="B746" s="3" t="s">
        <v>343</v>
      </c>
      <c r="C746" s="17" t="s">
        <v>351</v>
      </c>
      <c r="D746" s="17" t="s">
        <v>356</v>
      </c>
      <c r="E746" s="3" t="s">
        <v>48</v>
      </c>
      <c r="F746" s="3" t="s">
        <v>8</v>
      </c>
      <c r="G746" s="7">
        <f>15098847.48/1000</f>
        <v>15098.84748</v>
      </c>
    </row>
    <row r="747" spans="1:7" ht="52.15" customHeight="1" x14ac:dyDescent="0.25">
      <c r="A747" s="4" t="s">
        <v>56</v>
      </c>
      <c r="B747" s="3" t="s">
        <v>343</v>
      </c>
      <c r="C747" s="17" t="s">
        <v>351</v>
      </c>
      <c r="D747" s="17" t="s">
        <v>356</v>
      </c>
      <c r="E747" s="3" t="s">
        <v>57</v>
      </c>
      <c r="F747" s="3" t="s">
        <v>8</v>
      </c>
      <c r="G747" s="7">
        <f>15098847.48/1000</f>
        <v>15098.84748</v>
      </c>
    </row>
    <row r="748" spans="1:7" ht="51" x14ac:dyDescent="0.25">
      <c r="A748" s="4" t="s">
        <v>58</v>
      </c>
      <c r="B748" s="3" t="s">
        <v>343</v>
      </c>
      <c r="C748" s="17" t="s">
        <v>351</v>
      </c>
      <c r="D748" s="17" t="s">
        <v>356</v>
      </c>
      <c r="E748" s="3" t="s">
        <v>59</v>
      </c>
      <c r="F748" s="3" t="s">
        <v>8</v>
      </c>
      <c r="G748" s="7">
        <f>15098847.48/1000</f>
        <v>15098.84748</v>
      </c>
    </row>
    <row r="749" spans="1:7" ht="25.5" x14ac:dyDescent="0.25">
      <c r="A749" s="4" t="s">
        <v>272</v>
      </c>
      <c r="B749" s="3" t="s">
        <v>343</v>
      </c>
      <c r="C749" s="17" t="s">
        <v>351</v>
      </c>
      <c r="D749" s="17" t="s">
        <v>356</v>
      </c>
      <c r="E749" s="3" t="s">
        <v>345</v>
      </c>
      <c r="F749" s="3" t="s">
        <v>8</v>
      </c>
      <c r="G749" s="7">
        <f>15098847.48/1000</f>
        <v>15098.84748</v>
      </c>
    </row>
    <row r="750" spans="1:7" ht="89.25" x14ac:dyDescent="0.25">
      <c r="A750" s="4" t="s">
        <v>19</v>
      </c>
      <c r="B750" s="3" t="s">
        <v>343</v>
      </c>
      <c r="C750" s="17" t="s">
        <v>351</v>
      </c>
      <c r="D750" s="17" t="s">
        <v>356</v>
      </c>
      <c r="E750" s="3" t="s">
        <v>345</v>
      </c>
      <c r="F750" s="3" t="s">
        <v>20</v>
      </c>
      <c r="G750" s="7">
        <f>14278847.48/1000</f>
        <v>14278.84748</v>
      </c>
    </row>
    <row r="751" spans="1:7" ht="38.25" x14ac:dyDescent="0.25">
      <c r="A751" s="4" t="s">
        <v>31</v>
      </c>
      <c r="B751" s="3" t="s">
        <v>343</v>
      </c>
      <c r="C751" s="17" t="s">
        <v>351</v>
      </c>
      <c r="D751" s="17" t="s">
        <v>356</v>
      </c>
      <c r="E751" s="3" t="s">
        <v>345</v>
      </c>
      <c r="F751" s="3" t="s">
        <v>32</v>
      </c>
      <c r="G751" s="7">
        <f>820000/1000</f>
        <v>820</v>
      </c>
    </row>
    <row r="752" spans="1:7" ht="63.75" x14ac:dyDescent="0.25">
      <c r="A752" s="4" t="s">
        <v>13</v>
      </c>
      <c r="B752" s="3" t="s">
        <v>343</v>
      </c>
      <c r="C752" s="17" t="s">
        <v>351</v>
      </c>
      <c r="D752" s="17" t="s">
        <v>356</v>
      </c>
      <c r="E752" s="3" t="s">
        <v>14</v>
      </c>
      <c r="F752" s="3" t="s">
        <v>8</v>
      </c>
      <c r="G752" s="7">
        <f>142499.96/1000</f>
        <v>142.49995999999999</v>
      </c>
    </row>
    <row r="753" spans="1:7" ht="25.5" x14ac:dyDescent="0.25">
      <c r="A753" s="4" t="s">
        <v>62</v>
      </c>
      <c r="B753" s="3" t="s">
        <v>343</v>
      </c>
      <c r="C753" s="17" t="s">
        <v>351</v>
      </c>
      <c r="D753" s="17" t="s">
        <v>356</v>
      </c>
      <c r="E753" s="3" t="s">
        <v>63</v>
      </c>
      <c r="F753" s="3" t="s">
        <v>8</v>
      </c>
      <c r="G753" s="7">
        <f>1000/1000</f>
        <v>1</v>
      </c>
    </row>
    <row r="754" spans="1:7" ht="25.5" x14ac:dyDescent="0.25">
      <c r="A754" s="4" t="s">
        <v>66</v>
      </c>
      <c r="B754" s="3" t="s">
        <v>343</v>
      </c>
      <c r="C754" s="17" t="s">
        <v>351</v>
      </c>
      <c r="D754" s="17" t="s">
        <v>356</v>
      </c>
      <c r="E754" s="3" t="s">
        <v>67</v>
      </c>
      <c r="F754" s="3" t="s">
        <v>8</v>
      </c>
      <c r="G754" s="7">
        <f>1000/1000</f>
        <v>1</v>
      </c>
    </row>
    <row r="755" spans="1:7" ht="38.25" x14ac:dyDescent="0.25">
      <c r="A755" s="4" t="s">
        <v>31</v>
      </c>
      <c r="B755" s="3" t="s">
        <v>343</v>
      </c>
      <c r="C755" s="17" t="s">
        <v>351</v>
      </c>
      <c r="D755" s="17" t="s">
        <v>356</v>
      </c>
      <c r="E755" s="3" t="s">
        <v>67</v>
      </c>
      <c r="F755" s="3" t="s">
        <v>32</v>
      </c>
      <c r="G755" s="7">
        <f>1000/1000</f>
        <v>1</v>
      </c>
    </row>
    <row r="756" spans="1:7" ht="25.5" x14ac:dyDescent="0.25">
      <c r="A756" s="4" t="s">
        <v>21</v>
      </c>
      <c r="B756" s="3" t="s">
        <v>343</v>
      </c>
      <c r="C756" s="17" t="s">
        <v>351</v>
      </c>
      <c r="D756" s="17" t="s">
        <v>356</v>
      </c>
      <c r="E756" s="3" t="s">
        <v>22</v>
      </c>
      <c r="F756" s="3" t="s">
        <v>8</v>
      </c>
      <c r="G756" s="7">
        <f>141499.96/1000</f>
        <v>141.49995999999999</v>
      </c>
    </row>
    <row r="757" spans="1:7" ht="25.5" x14ac:dyDescent="0.25">
      <c r="A757" s="4" t="s">
        <v>23</v>
      </c>
      <c r="B757" s="3" t="s">
        <v>343</v>
      </c>
      <c r="C757" s="17" t="s">
        <v>351</v>
      </c>
      <c r="D757" s="17" t="s">
        <v>356</v>
      </c>
      <c r="E757" s="3" t="s">
        <v>24</v>
      </c>
      <c r="F757" s="3" t="s">
        <v>8</v>
      </c>
      <c r="G757" s="7">
        <f>141499.96/1000</f>
        <v>141.49995999999999</v>
      </c>
    </row>
    <row r="758" spans="1:7" ht="25.5" x14ac:dyDescent="0.25">
      <c r="A758" s="4" t="s">
        <v>25</v>
      </c>
      <c r="B758" s="3" t="s">
        <v>343</v>
      </c>
      <c r="C758" s="17" t="s">
        <v>351</v>
      </c>
      <c r="D758" s="17" t="s">
        <v>356</v>
      </c>
      <c r="E758" s="3" t="s">
        <v>24</v>
      </c>
      <c r="F758" s="3" t="s">
        <v>8</v>
      </c>
      <c r="G758" s="7">
        <f>22499.99/1000</f>
        <v>22.49999</v>
      </c>
    </row>
    <row r="759" spans="1:7" ht="89.25" x14ac:dyDescent="0.25">
      <c r="A759" s="4" t="s">
        <v>19</v>
      </c>
      <c r="B759" s="3" t="s">
        <v>343</v>
      </c>
      <c r="C759" s="17" t="s">
        <v>351</v>
      </c>
      <c r="D759" s="17" t="s">
        <v>356</v>
      </c>
      <c r="E759" s="3" t="s">
        <v>24</v>
      </c>
      <c r="F759" s="3" t="s">
        <v>20</v>
      </c>
      <c r="G759" s="7">
        <f>22499.99/1000</f>
        <v>22.49999</v>
      </c>
    </row>
    <row r="760" spans="1:7" ht="63.75" x14ac:dyDescent="0.25">
      <c r="A760" s="4" t="s">
        <v>26</v>
      </c>
      <c r="B760" s="3" t="s">
        <v>343</v>
      </c>
      <c r="C760" s="17" t="s">
        <v>351</v>
      </c>
      <c r="D760" s="17" t="s">
        <v>356</v>
      </c>
      <c r="E760" s="3" t="s">
        <v>27</v>
      </c>
      <c r="F760" s="3" t="s">
        <v>8</v>
      </c>
      <c r="G760" s="7">
        <f>118999.97/1000</f>
        <v>118.99997</v>
      </c>
    </row>
    <row r="761" spans="1:7" ht="89.25" x14ac:dyDescent="0.25">
      <c r="A761" s="4" t="s">
        <v>19</v>
      </c>
      <c r="B761" s="3" t="s">
        <v>343</v>
      </c>
      <c r="C761" s="17" t="s">
        <v>351</v>
      </c>
      <c r="D761" s="17" t="s">
        <v>356</v>
      </c>
      <c r="E761" s="3" t="s">
        <v>27</v>
      </c>
      <c r="F761" s="3" t="s">
        <v>20</v>
      </c>
      <c r="G761" s="7">
        <f>118999.97/1000</f>
        <v>118.99997</v>
      </c>
    </row>
    <row r="762" spans="1:7" x14ac:dyDescent="0.25">
      <c r="A762" s="24" t="s">
        <v>346</v>
      </c>
      <c r="B762" s="25"/>
      <c r="C762" s="25"/>
      <c r="D762" s="25"/>
      <c r="E762" s="25"/>
      <c r="F762" s="25"/>
      <c r="G762" s="8">
        <f>(990532449.07+412000)/1000</f>
        <v>990944.44907000009</v>
      </c>
    </row>
    <row r="763" spans="1:7" x14ac:dyDescent="0.25">
      <c r="A763" s="5"/>
      <c r="B763" s="2"/>
      <c r="C763" s="2"/>
      <c r="D763" s="2"/>
      <c r="E763" s="2"/>
      <c r="F763" s="2"/>
      <c r="G763" s="9"/>
    </row>
    <row r="764" spans="1:7" x14ac:dyDescent="0.25">
      <c r="A764" s="26"/>
      <c r="B764" s="27"/>
      <c r="C764" s="27"/>
      <c r="D764" s="27"/>
      <c r="E764" s="27"/>
      <c r="F764" s="27"/>
      <c r="G764" s="27"/>
    </row>
  </sheetData>
  <mergeCells count="13">
    <mergeCell ref="B1:G1"/>
    <mergeCell ref="C5:C6"/>
    <mergeCell ref="G5:G6"/>
    <mergeCell ref="A762:F762"/>
    <mergeCell ref="A764:G764"/>
    <mergeCell ref="A2:G2"/>
    <mergeCell ref="A3:G3"/>
    <mergeCell ref="A4:G4"/>
    <mergeCell ref="A5:A6"/>
    <mergeCell ref="B5:B6"/>
    <mergeCell ref="D5:D6"/>
    <mergeCell ref="E5:E6"/>
    <mergeCell ref="F5:F6"/>
  </mergeCells>
  <pageMargins left="0.7" right="0.7" top="0.75" bottom="0.75" header="0.3" footer="0.3"/>
  <pageSetup paperSize="9" scale="8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4.12.2024&lt;/string&gt;&#10;  &lt;/DateInfo&gt;&#10;  &lt;Code&gt;SQUERY_ANAL_ISP_BUDG&lt;/Code&gt;&#10;  &lt;ObjectCode&gt;SQUERY_ANAL_ISP_BUDG&lt;/ObjectCode&gt;&#10;  &lt;DocName&gt;Вариант (копия от 22.10.2023 21_42_39)(Аналитический отчет по исполнению бюджета с произвольной группировкой)&lt;/DocName&gt;&#10;  &lt;VariantName&gt;Вариант (копия от 22.10.2023 21:42:39)&lt;/VariantName&gt;&#10;  &lt;VariantLink&gt;1994745&lt;/VariantLink&gt;&#10;  &lt;ReportCode&gt;FA8C1FE7635540B9B2F49BC18F9079&lt;/ReportCode&gt;&#10;  &lt;SvodReportLink xsi:nil=&quot;true&quot; /&gt;&#10;  &lt;ReportLink&gt;216853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03D90F7-76A5-4714-919B-BB42B52B14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DESKTOP-BTABKQH\1</dc:creator>
  <cp:lastModifiedBy>Менщикова</cp:lastModifiedBy>
  <cp:lastPrinted>2015-12-31T19:34:24Z</cp:lastPrinted>
  <dcterms:created xsi:type="dcterms:W3CDTF">2024-12-22T09:06:30Z</dcterms:created>
  <dcterms:modified xsi:type="dcterms:W3CDTF">2015-12-31T19:43:43Z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22.10.2023 21_42_39)(Аналитический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(копия от 22.10.2023 21_42_39).xlsx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24.1.1241.1057851995</vt:lpwstr>
  </property>
  <property fmtid="{D5CDD505-2E9C-101B-9397-08002B2CF9AE}" pid="6" name="Тип сервера">
    <vt:lpwstr>MSSQL</vt:lpwstr>
  </property>
  <property fmtid="{D5CDD505-2E9C-101B-9397-08002B2CF9AE}" pid="7" name="Сервер">
    <vt:lpwstr>msu</vt:lpwstr>
  </property>
  <property fmtid="{D5CDD505-2E9C-101B-9397-08002B2CF9AE}" pid="8" name="База">
    <vt:lpwstr>bks2024r</vt:lpwstr>
  </property>
  <property fmtid="{D5CDD505-2E9C-101B-9397-08002B2CF9AE}" pid="9" name="Пользователь">
    <vt:lpwstr>b18_kurochkin_oa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